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5" activeTab="1"/>
  </bookViews>
  <sheets>
    <sheet name="НАЧАЛО" sheetId="1" r:id="rId1"/>
    <sheet name="ОПР" sheetId="2" r:id="rId2"/>
    <sheet name="баланс" sheetId="3" r:id="rId3"/>
    <sheet name="ОПП" sheetId="4" r:id="rId4"/>
    <sheet name="СК" sheetId="5" r:id="rId5"/>
    <sheet name="дълготрайни активи" sheetId="6" r:id="rId6"/>
    <sheet name="финансови активи" sheetId="7" r:id="rId7"/>
    <sheet name="отсрочени данъци" sheetId="8" r:id="rId8"/>
    <sheet name="вземания" sheetId="9" r:id="rId9"/>
    <sheet name="данъци" sheetId="10" r:id="rId10"/>
    <sheet name="материални запаси" sheetId="11" r:id="rId11"/>
    <sheet name="парични средства" sheetId="12" r:id="rId12"/>
    <sheet name="основен капитал" sheetId="13" r:id="rId13"/>
    <sheet name="резерви" sheetId="14" r:id="rId14"/>
    <sheet name="финансов резултат" sheetId="15" r:id="rId15"/>
    <sheet name="корекции на грешки" sheetId="16" r:id="rId16"/>
    <sheet name="финансови пасиви" sheetId="17" r:id="rId17"/>
    <sheet name="правителствени дарения" sheetId="18" r:id="rId18"/>
    <sheet name="задължения" sheetId="19" r:id="rId19"/>
    <sheet name="провизии" sheetId="20" r:id="rId20"/>
    <sheet name="пасиви за продажба" sheetId="21" r:id="rId21"/>
    <sheet name="приходи" sheetId="22" r:id="rId22"/>
    <sheet name="разходи" sheetId="23" r:id="rId23"/>
    <sheet name="договори за строителство" sheetId="24" r:id="rId24"/>
    <sheet name="свързани лица" sheetId="25" r:id="rId25"/>
    <sheet name="доходи ръководство" sheetId="26" r:id="rId26"/>
    <sheet name="Нетна ликвидна" sheetId="27" r:id="rId27"/>
    <sheet name="Категории ФИ" sheetId="28" r:id="rId28"/>
    <sheet name="Доход на акция" sheetId="29" r:id="rId29"/>
    <sheet name="Условни активи и пасиви" sheetId="30" r:id="rId30"/>
    <sheet name="Обезценки" sheetId="31" r:id="rId31"/>
    <sheet name="Валутен Риск" sheetId="32" r:id="rId32"/>
    <sheet name="коефициенти" sheetId="33" r:id="rId33"/>
  </sheets>
  <externalReferences>
    <externalReference r:id="rId36"/>
  </externalReferences>
  <definedNames>
    <definedName name="_xlnm.Print_Area" localSheetId="2">'баланс'!$A$1:$H$115</definedName>
    <definedName name="_xlnm.Print_Area" localSheetId="5">'дълготрайни активи'!$B$2:$P$67</definedName>
    <definedName name="_xlnm.Print_Area" localSheetId="0">'НАЧАЛО'!$A$1:$I$58</definedName>
    <definedName name="_xlnm.Print_Area" localSheetId="3">'ОПП'!$A$1:$E$58</definedName>
    <definedName name="_xlnm.Print_Area" localSheetId="1">'ОПР'!$A$1:$G$62</definedName>
    <definedName name="_xlnm.Print_Area" localSheetId="4">'СК'!$A$1:$P$58</definedName>
    <definedName name="_xlnm.Print_Titles" localSheetId="1">'ОПР'!$1:$2</definedName>
  </definedNames>
  <calcPr fullCalcOnLoad="1"/>
</workbook>
</file>

<file path=xl/comments1.xml><?xml version="1.0" encoding="utf-8"?>
<comments xmlns="http://schemas.openxmlformats.org/spreadsheetml/2006/main">
  <authors>
    <author>ДГ</author>
  </authors>
  <commentList>
    <comment ref="AA2" authorId="0">
      <text>
        <r>
          <rPr>
            <b/>
            <sz val="9"/>
            <color indexed="8"/>
            <rFont val="Times New Roman"/>
            <family val="1"/>
          </rPr>
          <t xml:space="preserve">"Биекс Одит" ООД:
</t>
        </r>
        <r>
          <rPr>
            <sz val="9"/>
            <color indexed="8"/>
            <rFont val="Times New Roman"/>
            <family val="1"/>
          </rPr>
          <t>Попълнете дата на отчета
САМО ТУК!
В ТОЗИ ФОРМАТ!</t>
        </r>
      </text>
    </comment>
    <comment ref="D18" authorId="0">
      <text>
        <r>
          <rPr>
            <b/>
            <sz val="10"/>
            <color indexed="10"/>
            <rFont val="Times New Roman"/>
            <family val="1"/>
          </rPr>
          <t xml:space="preserve">Euraaudit BX Внимание:
Имената на представляващия  и съставителя на ГФО, както и датата на отчета се попълват само на тази страница, на указаните места!
</t>
        </r>
      </text>
    </comment>
    <comment ref="O28" authorId="0">
      <text>
        <r>
          <rPr>
            <b/>
            <sz val="9"/>
            <color indexed="8"/>
            <rFont val="Times New Roman"/>
            <family val="1"/>
          </rPr>
          <t xml:space="preserve">Формат на датата:
дд.мм.гггг
</t>
        </r>
      </text>
    </comment>
  </commentList>
</comments>
</file>

<file path=xl/comments2.xml><?xml version="1.0" encoding="utf-8"?>
<comments xmlns="http://schemas.openxmlformats.org/spreadsheetml/2006/main">
  <authors>
    <author>ДГ</author>
  </authors>
  <commentList>
    <comment ref="C8" authorId="0">
      <text>
        <r>
          <rPr>
            <b/>
            <sz val="8"/>
            <color indexed="10"/>
            <rFont val="Times New Roman"/>
            <family val="1"/>
          </rPr>
          <t xml:space="preserve">EURAAUDIT BX Внимание: В колона С - Приложение цифрите, които сме поставили отговарят на номерацията на съответната статия в Оповестяването.  Ако промените номерацията в Оповестяването - Моля да коригирате и тази колна.
</t>
        </r>
      </text>
    </comment>
  </commentList>
</comments>
</file>

<file path=xl/comments3.xml><?xml version="1.0" encoding="utf-8"?>
<comments xmlns="http://schemas.openxmlformats.org/spreadsheetml/2006/main">
  <authors>
    <author>ДГ</author>
  </authors>
  <commentList>
    <comment ref="C9" authorId="0">
      <text>
        <r>
          <rPr>
            <b/>
            <sz val="8"/>
            <color indexed="10"/>
            <rFont val="Times New Roman"/>
            <family val="1"/>
          </rPr>
          <t xml:space="preserve"> EURAAUDIT BX Внимание: В колона С - Приложение цифрите, които сме поставили отговарят на номерацията на съответната статия в Оповестяването.  Ако промените номерацията в Оповестяването - Моля да коригирате и тази колна.</t>
        </r>
      </text>
    </comment>
  </commentList>
</comments>
</file>

<file path=xl/sharedStrings.xml><?xml version="1.0" encoding="utf-8"?>
<sst xmlns="http://schemas.openxmlformats.org/spreadsheetml/2006/main" count="1460" uniqueCount="816">
  <si>
    <t>УКАЗАНИЯ ЗА ПОПЪЛВАНЕ НА ОТЧЕТА</t>
  </si>
  <si>
    <t>януари</t>
  </si>
  <si>
    <t>1. Всички общи данни се попълват само в таблицата по-долу!</t>
  </si>
  <si>
    <t>февруари</t>
  </si>
  <si>
    <t>ТРАНССТРОЙ-БУРГАС АД</t>
  </si>
  <si>
    <t>2. Данните за дружеството, представляващия, съставителя, датата на отчета</t>
  </si>
  <si>
    <t>март</t>
  </si>
  <si>
    <t>и броя на страниците се попълват САМО ТУК, САМО В ОРАНЖЕВИТЕ</t>
  </si>
  <si>
    <t>април</t>
  </si>
  <si>
    <t>ПОЛЕТА! Данните се разнасят автоматично по компонентите.</t>
  </si>
  <si>
    <t>ИНДИВИДУАЛЕН</t>
  </si>
  <si>
    <t>К</t>
  </si>
  <si>
    <t>май</t>
  </si>
  <si>
    <t>3. В отчета има засечки между всички компоненти, при евентуално разми-</t>
  </si>
  <si>
    <t>САМОСТОЯТЕЛЕН</t>
  </si>
  <si>
    <t>С</t>
  </si>
  <si>
    <t>юни</t>
  </si>
  <si>
    <t>ване в данните по съответните справки ще се появят предупреждуния.</t>
  </si>
  <si>
    <t>юли</t>
  </si>
  <si>
    <t>4. Ненужните редове по четирите форми и приложенията НЕ ТРЯБВА</t>
  </si>
  <si>
    <t>август</t>
  </si>
  <si>
    <t>ДА СЕ ТРИЯТ! В случай, че има излишни /празни/ редове, то те трябва</t>
  </si>
  <si>
    <t>септември</t>
  </si>
  <si>
    <t>да се скрият. Функция HIDE</t>
  </si>
  <si>
    <t>октомври</t>
  </si>
  <si>
    <t>5. Допълнителни редове НЕ ТРЯБВА ДА СЕ ПРИБАВЯТ!</t>
  </si>
  <si>
    <t>ноември</t>
  </si>
  <si>
    <t>6. Всички справки са странирани за разпечатване.</t>
  </si>
  <si>
    <t>декември</t>
  </si>
  <si>
    <t>7. От отчета се разпечатват заглавната страница /настоящата/, опр, баланс,</t>
  </si>
  <si>
    <t>опп и отчет за собствения капитал. Останалите справки се копират в опо-</t>
  </si>
  <si>
    <t>вестяването.</t>
  </si>
  <si>
    <t>Въведете име на Дружеството ТУК!</t>
  </si>
  <si>
    <t>Въведете град на регистрация ТУК!</t>
  </si>
  <si>
    <t>БУРГАС</t>
  </si>
  <si>
    <t>Изберете вид на отчета в зависимост от това дали дружеството изготвя или участва</t>
  </si>
  <si>
    <t>в консолидиран отчет или не. В случай, че дружеството изготвя или участва</t>
  </si>
  <si>
    <t>в консолидиран отчет въведете "К", ако не изготвя и не участва въведете "С"!</t>
  </si>
  <si>
    <t>Избор на вид отчет ТУК!</t>
  </si>
  <si>
    <t>Въведете дата на отчета ТУК!</t>
  </si>
  <si>
    <t>С НЕЗАВИСИМ ОДИТОРСКИ ДОКЛАД</t>
  </si>
  <si>
    <t>Въведете дата на съставяне ТУК!</t>
  </si>
  <si>
    <t>Въведете име на управителя ТУК!</t>
  </si>
  <si>
    <t>Въведете име на съставителя ТУК!</t>
  </si>
  <si>
    <t>Въведете име на одитора ТУК!</t>
  </si>
  <si>
    <t>Въведете броя на страниците на оповестяването в полето по-долу!</t>
  </si>
  <si>
    <t>Първата страница на оповестяването следва да започва след тази на</t>
  </si>
  <si>
    <t>отчета за собствения капитал - №6</t>
  </si>
  <si>
    <t>Въведете страниците ТУК!        От:</t>
  </si>
  <si>
    <t>До:</t>
  </si>
  <si>
    <t>Представляващ:</t>
  </si>
  <si>
    <t>Съставител:</t>
  </si>
  <si>
    <t>Заверил:</t>
  </si>
  <si>
    <t>Янка Деевска - Регистриран Одитор</t>
  </si>
  <si>
    <t>Приложение</t>
  </si>
  <si>
    <t>BGN'000</t>
  </si>
  <si>
    <t xml:space="preserve">Приходи </t>
  </si>
  <si>
    <t>Нетни приходи от продажби</t>
  </si>
  <si>
    <t>1.1.1.</t>
  </si>
  <si>
    <t>Продукция</t>
  </si>
  <si>
    <t>Услуги</t>
  </si>
  <si>
    <t>Стоки</t>
  </si>
  <si>
    <t>Други</t>
  </si>
  <si>
    <t>Приходи от правителствени дарения</t>
  </si>
  <si>
    <t>1.1.2.</t>
  </si>
  <si>
    <t>Финансови приходи</t>
  </si>
  <si>
    <t>1.1.3.</t>
  </si>
  <si>
    <t xml:space="preserve">Общо приходи </t>
  </si>
  <si>
    <t xml:space="preserve">Разходи </t>
  </si>
  <si>
    <t>Разходи по икономически елементи</t>
  </si>
  <si>
    <t>Използвани суровини, материали и консумативи</t>
  </si>
  <si>
    <t>1.2.1.</t>
  </si>
  <si>
    <t>Разходи за външни услуги</t>
  </si>
  <si>
    <t>1.2.2.</t>
  </si>
  <si>
    <t>Разходи за амортизации</t>
  </si>
  <si>
    <t>1.2.3.</t>
  </si>
  <si>
    <t>Разходи за заплати и осигуровки на персонала</t>
  </si>
  <si>
    <t>1.2.4.</t>
  </si>
  <si>
    <t>Обезценка на активи</t>
  </si>
  <si>
    <t>1.2.5.</t>
  </si>
  <si>
    <t>Други разходи</t>
  </si>
  <si>
    <t>1.2.6.</t>
  </si>
  <si>
    <t>Суми с корективен характер</t>
  </si>
  <si>
    <t>1.2.7.</t>
  </si>
  <si>
    <t>Балансова стойност на продадени активи (без продукция)</t>
  </si>
  <si>
    <t>Разходи капитализирани в стойността на активи</t>
  </si>
  <si>
    <t>Промени в наличностите на готовата продукция и незавършено производство</t>
  </si>
  <si>
    <t xml:space="preserve">Финансови разходи </t>
  </si>
  <si>
    <t>1.2.8.</t>
  </si>
  <si>
    <t>Общо разходи без разходи за данъци</t>
  </si>
  <si>
    <t>Резултат ат продажба на дълготрайни активи</t>
  </si>
  <si>
    <t>Печалба/загуба преди разходи за данъци</t>
  </si>
  <si>
    <t>в т.ч.на малцинственото участие</t>
  </si>
  <si>
    <t>Разход за данъци</t>
  </si>
  <si>
    <t>1.2.9.</t>
  </si>
  <si>
    <t>Текущ данък</t>
  </si>
  <si>
    <t>Изменение за сметка на отсрочени данъци</t>
  </si>
  <si>
    <t>Печалба/загуба</t>
  </si>
  <si>
    <t xml:space="preserve"> </t>
  </si>
  <si>
    <t>АКТИВ</t>
  </si>
  <si>
    <t>Нетекущи активи</t>
  </si>
  <si>
    <t>Имоти, съоръжения, мишини и оборудване</t>
  </si>
  <si>
    <t>2.1.</t>
  </si>
  <si>
    <t>Инвестиционни имоти</t>
  </si>
  <si>
    <t>2.2.</t>
  </si>
  <si>
    <t>Дълготрайни нематериални активи</t>
  </si>
  <si>
    <t>2.3.</t>
  </si>
  <si>
    <t>Финансови активи нетекущи</t>
  </si>
  <si>
    <t>2.5.</t>
  </si>
  <si>
    <t>Нетекущи търговски и други вземания</t>
  </si>
  <si>
    <t>2.6.</t>
  </si>
  <si>
    <t>Активи по отсрочени данъци</t>
  </si>
  <si>
    <t>2.4.</t>
  </si>
  <si>
    <t>Търговска репутация</t>
  </si>
  <si>
    <t>Общо нетекущи активи</t>
  </si>
  <si>
    <t>Текущи активи</t>
  </si>
  <si>
    <r>
      <t xml:space="preserve">Активи държани за продажба </t>
    </r>
    <r>
      <rPr>
        <sz val="11"/>
        <color indexed="10"/>
        <rFont val="Times New Roman"/>
        <family val="1"/>
      </rPr>
      <t>/поМСФО5/</t>
    </r>
  </si>
  <si>
    <t>2.8.</t>
  </si>
  <si>
    <t>Материални запаси</t>
  </si>
  <si>
    <t>2.7.</t>
  </si>
  <si>
    <t>Текущи търговски и други вземания</t>
  </si>
  <si>
    <t>2.9.</t>
  </si>
  <si>
    <t xml:space="preserve">          в т.ч. Вземания по правителствени дарения</t>
  </si>
  <si>
    <t>Данъци за въстановяване</t>
  </si>
  <si>
    <t>Финансови активи текущи</t>
  </si>
  <si>
    <t>2.10.</t>
  </si>
  <si>
    <t>Парични средства</t>
  </si>
  <si>
    <t>2.11.</t>
  </si>
  <si>
    <t>Общо текущи активи</t>
  </si>
  <si>
    <t>Сума на актива</t>
  </si>
  <si>
    <t>ПАСИВ</t>
  </si>
  <si>
    <t>Собствен капитал</t>
  </si>
  <si>
    <t>2.12.</t>
  </si>
  <si>
    <t>Основен капитал</t>
  </si>
  <si>
    <t>2.12.1.</t>
  </si>
  <si>
    <t>Регистриран капитал</t>
  </si>
  <si>
    <t>Невнесен капитал</t>
  </si>
  <si>
    <t>Изкупени собствени акции</t>
  </si>
  <si>
    <t>Премии от емисии</t>
  </si>
  <si>
    <t>Резерви</t>
  </si>
  <si>
    <t>2.12.2.</t>
  </si>
  <si>
    <t>Финансов резултат</t>
  </si>
  <si>
    <t>2.12.3.</t>
  </si>
  <si>
    <t>Натрупани печалби/загуби</t>
  </si>
  <si>
    <t>Печалба/загуба за годината</t>
  </si>
  <si>
    <t>Собствен капитал непринадлежащ на групата</t>
  </si>
  <si>
    <t>Нетекущи  пасиви</t>
  </si>
  <si>
    <t>Нетекущи финансови пасиви</t>
  </si>
  <si>
    <t>2.13.</t>
  </si>
  <si>
    <t>Нетекущи търговски и други задължения</t>
  </si>
  <si>
    <t>2.14.</t>
  </si>
  <si>
    <t>Отсрочени данъчни пасиви</t>
  </si>
  <si>
    <t>2.15.</t>
  </si>
  <si>
    <t xml:space="preserve">Пасиви по отсрочени данъци </t>
  </si>
  <si>
    <t>Правителствени дарения нетекуща част</t>
  </si>
  <si>
    <t>2.16.</t>
  </si>
  <si>
    <t>Текущи пасиви</t>
  </si>
  <si>
    <t>Текущи финансови пасиви</t>
  </si>
  <si>
    <t>2.18.</t>
  </si>
  <si>
    <t>Текщи търговски и други задължения</t>
  </si>
  <si>
    <t>2.17.</t>
  </si>
  <si>
    <t>Данъчни задължения</t>
  </si>
  <si>
    <t>2.19.</t>
  </si>
  <si>
    <t>Задължения към персонала</t>
  </si>
  <si>
    <t>2.20.</t>
  </si>
  <si>
    <t>Провизии</t>
  </si>
  <si>
    <t>2.21.</t>
  </si>
  <si>
    <r>
      <t xml:space="preserve">Пасиви държани за продажба </t>
    </r>
    <r>
      <rPr>
        <sz val="11"/>
        <color indexed="10"/>
        <rFont val="Times New Roman"/>
        <family val="1"/>
      </rPr>
      <t>/поМСФО5/</t>
    </r>
  </si>
  <si>
    <t>2.22.</t>
  </si>
  <si>
    <t>Правителствени дарения текуща част</t>
  </si>
  <si>
    <t>2.23.</t>
  </si>
  <si>
    <t xml:space="preserve">Сума  пасив </t>
  </si>
  <si>
    <t>Парични 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</si>
  <si>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</si>
  <si>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</si>
  <si>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</si>
  <si>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</si>
  <si>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Платени данъци (без корпоративни данъци )</t>
  </si>
  <si>
    <t xml:space="preserve">Платени  корпоративни данъци </t>
  </si>
  <si>
    <t>Плащания от разпределение на печалба</t>
  </si>
  <si>
    <t>Други плащания, нетно</t>
  </si>
  <si>
    <t>Нетни парични потоци от оперативна дейност</t>
  </si>
  <si>
    <t>Парични потци от инвестиционна дейност</t>
  </si>
  <si>
    <t>Покупки на дълготрайни активи</t>
  </si>
  <si>
    <t>Постъпления от продажба на дълготрайни активи</t>
  </si>
  <si>
    <t>Постъпления от продажба на нетекущи финансови активи</t>
  </si>
  <si>
    <t>Плащания за покупка на нетекущи финансови активи</t>
  </si>
  <si>
    <t>Получени суми за погасяване на предоставени  заеми на трети страни</t>
  </si>
  <si>
    <t>Платени суми при предоставяне на  заеми на трети страни</t>
  </si>
  <si>
    <t>Получени лихви по предоставени  заеми на трети страни</t>
  </si>
  <si>
    <t>Други плащания (нетно)</t>
  </si>
  <si>
    <t>Нето парични средства  използвани в инвестиционната дейност</t>
  </si>
  <si>
    <t>Парични потоци от финансова дейност</t>
  </si>
  <si>
    <t>Постъпления от емитирането на акции или други капиталови инструменти</t>
  </si>
  <si>
    <t>Плащания за обратно изкупуване на акции или други капиталови инструменти</t>
  </si>
  <si>
    <t>Постъпления по получени  заеми</t>
  </si>
  <si>
    <t>Плащания по получени заеми</t>
  </si>
  <si>
    <t>Парични потоци за погасяване на задължения по финансов лизинг</t>
  </si>
  <si>
    <t>Парични потоци по финансов лизинг</t>
  </si>
  <si>
    <t xml:space="preserve">Платени  такси и лихви върху  заеми </t>
  </si>
  <si>
    <t>Други парични потоци от финансова дейност</t>
  </si>
  <si>
    <t>Нето парични средства използвани във финансовата дейност</t>
  </si>
  <si>
    <t>Нетно увеличение (намаление) на паричните средства и паричните еквиваленти</t>
  </si>
  <si>
    <t>Парични средства и парични еквиваленти на 1 януари</t>
  </si>
  <si>
    <t>Резерв от последващи оценки</t>
  </si>
  <si>
    <t>Общи резерви</t>
  </si>
  <si>
    <t>Други резерви</t>
  </si>
  <si>
    <t>Натрупани печалби/ загуби</t>
  </si>
  <si>
    <t>Общо собствен капитал</t>
  </si>
  <si>
    <t>Промени в началните салда, поради промяна в счетоводната политика - преминаване към МСС</t>
  </si>
  <si>
    <t>Признати приходи и разходи  в капитала за периода</t>
  </si>
  <si>
    <t>Печалба/Загуба от преоценка на имоти</t>
  </si>
  <si>
    <t>Положителни (отрицателни) разлики при оценка на финансови инструменти отнесени в капитала</t>
  </si>
  <si>
    <t>Оценки на финансови ативи прехвърлени към печалба или загуба при продажба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</si>
  <si>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</si>
  <si>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</si>
  <si>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Обща сума на признати приходи и разходи  в капитала за периода</t>
  </si>
  <si>
    <t>Печалба /загуба за периода</t>
  </si>
  <si>
    <t>Дивиденти</t>
  </si>
  <si>
    <t>Емисия на  капитал</t>
  </si>
  <si>
    <t>Други изменения в собствения капитал</t>
  </si>
  <si>
    <t xml:space="preserve">  </t>
  </si>
  <si>
    <t>Имоти, машини, съоръжения и оборудване</t>
  </si>
  <si>
    <t>Дълготрайни активи държани за продажба</t>
  </si>
  <si>
    <t>Земи</t>
  </si>
  <si>
    <t>Земи и сгради</t>
  </si>
  <si>
    <t>Съоръжения</t>
  </si>
  <si>
    <t>Машини и обороудване</t>
  </si>
  <si>
    <t>Транспорт-ни средства</t>
  </si>
  <si>
    <t>Други активи</t>
  </si>
  <si>
    <t>Капитализи-рани разходи</t>
  </si>
  <si>
    <t>Общо</t>
  </si>
  <si>
    <t>Продукти от развойна д-ст</t>
  </si>
  <si>
    <t>Програмни продукти</t>
  </si>
  <si>
    <t>Сгради</t>
  </si>
  <si>
    <t>активи</t>
  </si>
  <si>
    <t>Отчетна стойност</t>
  </si>
  <si>
    <t>Земи /нето/</t>
  </si>
  <si>
    <t>Постъпили</t>
  </si>
  <si>
    <t>Излезли</t>
  </si>
  <si>
    <t>Обезценка на земи</t>
  </si>
  <si>
    <t>Преоценки признати в капитала</t>
  </si>
  <si>
    <t>Сгради и конструкции /нето/</t>
  </si>
  <si>
    <t>Обезценки признати в опр</t>
  </si>
  <si>
    <t>Сгради и конструкции</t>
  </si>
  <si>
    <t>Възстановени обезценки в опр</t>
  </si>
  <si>
    <t>Обезценка на сгради и конструкции</t>
  </si>
  <si>
    <t>Съоражения /нето/</t>
  </si>
  <si>
    <t>Съоражения</t>
  </si>
  <si>
    <t>Обезценка на съоражения</t>
  </si>
  <si>
    <t>Машини и оборудване /нето/</t>
  </si>
  <si>
    <t>Машини и оборудване</t>
  </si>
  <si>
    <t>Обезценка на машини и оборудване</t>
  </si>
  <si>
    <t>Транспортни средства /нето/</t>
  </si>
  <si>
    <t>Амортизация</t>
  </si>
  <si>
    <t>Транспортни средства</t>
  </si>
  <si>
    <t>Обезценка на транспортни средства</t>
  </si>
  <si>
    <t>Други материални активи /нето/</t>
  </si>
  <si>
    <t>Други материални активи</t>
  </si>
  <si>
    <t>Обезценка на други нетекущи активи</t>
  </si>
  <si>
    <t>Нематериални активи /нето/</t>
  </si>
  <si>
    <t>Нематериални активи</t>
  </si>
  <si>
    <t>Обезценка на нематериални активи</t>
  </si>
  <si>
    <t>Балансова стойност</t>
  </si>
  <si>
    <t>Нетекущи финансови активи - приложение №1</t>
  </si>
  <si>
    <t>Нетекущи финансови активи</t>
  </si>
  <si>
    <t>Дялове и участия</t>
  </si>
  <si>
    <t>Финансови активи държани до падеж</t>
  </si>
  <si>
    <t>Финансови активи налични за продажба</t>
  </si>
  <si>
    <t>Вземания по предоставени кредити</t>
  </si>
  <si>
    <t>Вземания по лизингови договори</t>
  </si>
  <si>
    <t>Инвестиции в дъщерни предприятия</t>
  </si>
  <si>
    <t>Участия</t>
  </si>
  <si>
    <t>размер</t>
  </si>
  <si>
    <t>стойност</t>
  </si>
  <si>
    <t>Трансстрой Ойл Пайплайн ЕООД</t>
  </si>
  <si>
    <t>Трансстрой Консулт ЕООД</t>
  </si>
  <si>
    <t>Сити Пропърти АДСИЦ</t>
  </si>
  <si>
    <t>Инвестиции в асоциирани предприятия</t>
  </si>
  <si>
    <t>Рихтер Енжиниърс АД</t>
  </si>
  <si>
    <t>Инвестиции в други предприятия</t>
  </si>
  <si>
    <t>Вид</t>
  </si>
  <si>
    <t>Емитент</t>
  </si>
  <si>
    <t>Кредити - дългосрочни</t>
  </si>
  <si>
    <t>Вземания по кредити от свързани предприятия /нето/</t>
  </si>
  <si>
    <t>Вземания по кредити от свързани предприятия</t>
  </si>
  <si>
    <t>Обезценка на вземания по кредити от свръзани предприятия</t>
  </si>
  <si>
    <t>Вземания по предоставени кредити /нето/</t>
  </si>
  <si>
    <t>Обезценка на вземания по кредити</t>
  </si>
  <si>
    <t>Лизинг - дългосрочни</t>
  </si>
  <si>
    <t>Вземания по лизинг от свързани предприятия /нето/</t>
  </si>
  <si>
    <t>Вземания по лизинг от свързани предприятия</t>
  </si>
  <si>
    <t>Обезценка на вземания по лизинг от свръзани предприятия</t>
  </si>
  <si>
    <t>Вземания по лизингови договори /нето/</t>
  </si>
  <si>
    <t>Обезценка на вземания по лизингови договори</t>
  </si>
  <si>
    <t>Текущи финансови активи - приложение №2</t>
  </si>
  <si>
    <t>Текущи финансови активи</t>
  </si>
  <si>
    <t>Финансови активи държани за търгуване</t>
  </si>
  <si>
    <t>Кредити - краткосрочни</t>
  </si>
  <si>
    <t>Лизинг - краткосрочни</t>
  </si>
  <si>
    <t>Предоставени заеми, без свързани предприятия</t>
  </si>
  <si>
    <t>Кредитополучател</t>
  </si>
  <si>
    <t>Валута</t>
  </si>
  <si>
    <t>Л. %</t>
  </si>
  <si>
    <t>Падеж</t>
  </si>
  <si>
    <t>Обезпечения / Гаранции</t>
  </si>
  <si>
    <t>Салда по предоставени заеми, без свързани предприятия</t>
  </si>
  <si>
    <t>Вземания
 до 1 година</t>
  </si>
  <si>
    <t>Вземания
 над 1 година</t>
  </si>
  <si>
    <t>Финансов лизинг, без свързани предприятия</t>
  </si>
  <si>
    <t>До 1 год.</t>
  </si>
  <si>
    <t>От 1 до 5 г.</t>
  </si>
  <si>
    <t>Лизингови постъпления</t>
  </si>
  <si>
    <t>Дисконтиране</t>
  </si>
  <si>
    <t>Нетна настояща стойност</t>
  </si>
  <si>
    <t>Оперативен лизинг, без свързани предприятия</t>
  </si>
  <si>
    <t>Временна разлика</t>
  </si>
  <si>
    <t>увеличение</t>
  </si>
  <si>
    <t xml:space="preserve">намаление </t>
  </si>
  <si>
    <t>Данъчна основа</t>
  </si>
  <si>
    <t>Амортизации</t>
  </si>
  <si>
    <t>Обезценка</t>
  </si>
  <si>
    <t>Компенсируми отпуски</t>
  </si>
  <si>
    <t>Слаба капитализация</t>
  </si>
  <si>
    <t>Загуба</t>
  </si>
  <si>
    <t>Задължения</t>
  </si>
  <si>
    <t>Общо активи:</t>
  </si>
  <si>
    <t>Пасиви по отсрочени данъци</t>
  </si>
  <si>
    <t>Преоценъчен резерв</t>
  </si>
  <si>
    <t>Общо пасиви:</t>
  </si>
  <si>
    <t>Отсрочени данъци (нето)</t>
  </si>
  <si>
    <t>Нетекущи вземания</t>
  </si>
  <si>
    <t>Вземания от свързани предприятия в т.ч. /нето/</t>
  </si>
  <si>
    <t>Вземания по продажби</t>
  </si>
  <si>
    <t>Вземания по предоставени аванси</t>
  </si>
  <si>
    <t>Други вземания</t>
  </si>
  <si>
    <t>Обезценка на вземания от свързани лица</t>
  </si>
  <si>
    <t>Вземания от продажби в /нето/</t>
  </si>
  <si>
    <t>Вземания бруто</t>
  </si>
  <si>
    <t>Обезценка на търговски вземания</t>
  </si>
  <si>
    <t>Вземания по предоставени аванси /нето/</t>
  </si>
  <si>
    <t>Обезценка на вземания по аванси</t>
  </si>
  <si>
    <t>Други дългосрочни вземания в т.ч. /нето/</t>
  </si>
  <si>
    <t>Вземания по правителствени дарения</t>
  </si>
  <si>
    <t>Предоставени гаранции и депозити</t>
  </si>
  <si>
    <t>Други дългосрочни вземания</t>
  </si>
  <si>
    <t>....................................................</t>
  </si>
  <si>
    <t>Обезценка на други вземания</t>
  </si>
  <si>
    <t>Текущи вземания</t>
  </si>
  <si>
    <t>Вземания по дивиденти</t>
  </si>
  <si>
    <t xml:space="preserve">Вземания по правителствени дарения </t>
  </si>
  <si>
    <t>Вземания по предост. търговски заеми</t>
  </si>
  <si>
    <t>Вземания по дивиденти /нето/</t>
  </si>
  <si>
    <t>Обезценка на вземания по дивиденти</t>
  </si>
  <si>
    <t>Вземания по съдебни спорове /нето/</t>
  </si>
  <si>
    <t>Вземания по съдебни спорове</t>
  </si>
  <si>
    <t>Обезценка на вземания по съдебни спорове</t>
  </si>
  <si>
    <t>Вземания от социално осигуряване в т.ч.</t>
  </si>
  <si>
    <t>Социално осигуряване</t>
  </si>
  <si>
    <t>Здравно осигуряване</t>
  </si>
  <si>
    <t>Други вземания в т.ч. /нето/</t>
  </si>
  <si>
    <t>Вземания по липси и начети</t>
  </si>
  <si>
    <t>Вземания по рекламации</t>
  </si>
  <si>
    <t>Предплатени разходи</t>
  </si>
  <si>
    <t>Вземания по застраховане</t>
  </si>
  <si>
    <t>Други краткосрочни вземания</t>
  </si>
  <si>
    <t>Вземания по договори по незав. строителство</t>
  </si>
  <si>
    <t>.........................................................</t>
  </si>
  <si>
    <t>Данъци за възстановяване</t>
  </si>
  <si>
    <t>Данък върху печалбата</t>
  </si>
  <si>
    <t>Данък върху добавената стойност</t>
  </si>
  <si>
    <t>Други данъци</t>
  </si>
  <si>
    <t>.......................................................</t>
  </si>
  <si>
    <t>Данък върху доходите на физическите лица</t>
  </si>
  <si>
    <t>Материали в т.ч. /нето/</t>
  </si>
  <si>
    <t>Основни материали</t>
  </si>
  <si>
    <t>Резервни части</t>
  </si>
  <si>
    <t>Горива и смазочни материали</t>
  </si>
  <si>
    <t>Спомагателни материали</t>
  </si>
  <si>
    <t>Материали на отговорно пазене</t>
  </si>
  <si>
    <t>Материали собствено производство</t>
  </si>
  <si>
    <t>Други материали</t>
  </si>
  <si>
    <t>Незавършено производство</t>
  </si>
  <si>
    <t>...................................................................</t>
  </si>
  <si>
    <t>Обезценка на материали</t>
  </si>
  <si>
    <t>Стоки /нето/</t>
  </si>
  <si>
    <t>Обезценка на стоки</t>
  </si>
  <si>
    <t>Продукция /нето/</t>
  </si>
  <si>
    <t>Обезценка на продукция</t>
  </si>
  <si>
    <t>Незавършено производство /нето/</t>
  </si>
  <si>
    <t>Обезценка на незавършено произ-во</t>
  </si>
  <si>
    <t>Парични средства в брой в т.ч.</t>
  </si>
  <si>
    <t>В лева</t>
  </si>
  <si>
    <t>Във валута</t>
  </si>
  <si>
    <t>Парични средства в разплащателни сметки в т.ч.</t>
  </si>
  <si>
    <t>Парични еквиваленти</t>
  </si>
  <si>
    <t>Блокирани парични средства</t>
  </si>
  <si>
    <t>Краткосрочни депозити</t>
  </si>
  <si>
    <t>Основен /записан/ капитал АД</t>
  </si>
  <si>
    <t>В ЛЕВА</t>
  </si>
  <si>
    <t>Вид акции</t>
  </si>
  <si>
    <t>Брой акции</t>
  </si>
  <si>
    <t>Стойност</t>
  </si>
  <si>
    <t>Номинал</t>
  </si>
  <si>
    <t>Брой</t>
  </si>
  <si>
    <t>Обикновени</t>
  </si>
  <si>
    <t>Емитирани</t>
  </si>
  <si>
    <t>Изкупени и платени</t>
  </si>
  <si>
    <t>Изкупени и неплатени</t>
  </si>
  <si>
    <t>Неизкупени</t>
  </si>
  <si>
    <t>Привилигировани</t>
  </si>
  <si>
    <t>Общо:</t>
  </si>
  <si>
    <t>Акционер</t>
  </si>
  <si>
    <t>Платени</t>
  </si>
  <si>
    <t>% Дял</t>
  </si>
  <si>
    <t>Емитирани акции обикновени</t>
  </si>
  <si>
    <t>Основен /записан/ капитал ООД</t>
  </si>
  <si>
    <t>Съдружник</t>
  </si>
  <si>
    <t>Брой дялове</t>
  </si>
  <si>
    <t>Резерв от последващи оценки на активи</t>
  </si>
  <si>
    <t>Общо резерви</t>
  </si>
  <si>
    <t>Промяна в счетоводната политика</t>
  </si>
  <si>
    <t>Ефект от отсрочени данъци</t>
  </si>
  <si>
    <t>Увеличения от:</t>
  </si>
  <si>
    <t>Разпределение на печалба</t>
  </si>
  <si>
    <t>Преоценка на активи</t>
  </si>
  <si>
    <t>Намаления от:</t>
  </si>
  <si>
    <t>Покриване на загуби</t>
  </si>
  <si>
    <t>Продажба на активи</t>
  </si>
  <si>
    <t>Промени в счетоводната полтика, грешки и др.</t>
  </si>
  <si>
    <t>Разпределение на печелба за дивидент</t>
  </si>
  <si>
    <t>Покриване на загуба</t>
  </si>
  <si>
    <t>Въведете намаленията на печалбата със знак минус (-)!</t>
  </si>
  <si>
    <t>Отписан преоценъчен резерв</t>
  </si>
  <si>
    <t>Разпределение на печелба в резерви</t>
  </si>
  <si>
    <t>Покриване на загуби с резерви и печалби</t>
  </si>
  <si>
    <t>Въведете намалението на загубата с положителен знак!</t>
  </si>
  <si>
    <t>Корекции във връзка с преминаване към МСС</t>
  </si>
  <si>
    <t>Вид грешка</t>
  </si>
  <si>
    <t>Сума</t>
  </si>
  <si>
    <t>Признато вземане и приход по превителствено финансиране -</t>
  </si>
  <si>
    <t>компенсируеми отпуски - 2004 - 2005 г.</t>
  </si>
  <si>
    <t>Корекция вземане и приход по превителствено финансиране -</t>
  </si>
  <si>
    <t>компенсируеми отпуски - 2006  г.</t>
  </si>
  <si>
    <t xml:space="preserve">Начислено изменение вземане и приход по превителствено </t>
  </si>
  <si>
    <t>финансиране - компенсируеми отпуски - 2007  г.</t>
  </si>
  <si>
    <t>Нетекущи финансови пасиви - приложение №1</t>
  </si>
  <si>
    <t>Задължения по облигационни заеми</t>
  </si>
  <si>
    <t>Задължения по получени кредити</t>
  </si>
  <si>
    <t>Задължения по лизингови договори</t>
  </si>
  <si>
    <t>Други финансови пасиви</t>
  </si>
  <si>
    <t>Задължения по кредити към свързани предприятия</t>
  </si>
  <si>
    <t>Задължения по кредити към финансови предприятия</t>
  </si>
  <si>
    <t>Задължения по получени кредити от трети лица</t>
  </si>
  <si>
    <t>Задължения по лизингови договори към свързани предприятия</t>
  </si>
  <si>
    <t>Други финансови пасиви - дългосрочни</t>
  </si>
  <si>
    <t>..........................................................................................</t>
  </si>
  <si>
    <t>Текущи финансови пасиви - приложение № 2</t>
  </si>
  <si>
    <t>Други финансови пасиви - краткосрочни</t>
  </si>
  <si>
    <t>Получени заеми, без свързани предприятия</t>
  </si>
  <si>
    <t>Банка / Кредитор</t>
  </si>
  <si>
    <t>Салда по получени заеми, без свързани предприятия</t>
  </si>
  <si>
    <t>Задължения
 до 1 година</t>
  </si>
  <si>
    <t>Задължения
 над 1 година</t>
  </si>
  <si>
    <t>Лизингови плащания</t>
  </si>
  <si>
    <t>Правителствени дарения</t>
  </si>
  <si>
    <t>Вид дарение</t>
  </si>
  <si>
    <t>Нетекуща част</t>
  </si>
  <si>
    <t>Дарения за дълготрайни активи</t>
  </si>
  <si>
    <t>Дарения за текуща дейност</t>
  </si>
  <si>
    <t>Текуща част</t>
  </si>
  <si>
    <t>Нетекущи задължения</t>
  </si>
  <si>
    <t>Задължения към свързани предприятия в т.ч.</t>
  </si>
  <si>
    <t>Задължения по доставки</t>
  </si>
  <si>
    <t>Задължения по получени аванси</t>
  </si>
  <si>
    <t>Други задължения</t>
  </si>
  <si>
    <t>Други дългосрочни задължения в т.ч.</t>
  </si>
  <si>
    <t>Задължения по гаранции и депозити</t>
  </si>
  <si>
    <t>Други дългосрочни задължения</t>
  </si>
  <si>
    <t>Финансирания</t>
  </si>
  <si>
    <t>Текущи задължения</t>
  </si>
  <si>
    <t>Задължения по дивиденти</t>
  </si>
  <si>
    <t>Други краткосрочни задължения в т.ч.</t>
  </si>
  <si>
    <t>Задължения по начислени разходи</t>
  </si>
  <si>
    <t>Задължения по застраховки</t>
  </si>
  <si>
    <t>Други краткосрочни задължения</t>
  </si>
  <si>
    <t>.............................................................</t>
  </si>
  <si>
    <t>Задължения свързани с персонала</t>
  </si>
  <si>
    <t>в т.ч. задължения по неизползвани отпуски</t>
  </si>
  <si>
    <t>Задължения към осигурителни предприятия</t>
  </si>
  <si>
    <t>Провизии за правни задължения в т.ч.</t>
  </si>
  <si>
    <t>Провизии за вземания от продажби</t>
  </si>
  <si>
    <t>Провизии за неползван отпуск</t>
  </si>
  <si>
    <t>Провизии, признати като пасиви</t>
  </si>
  <si>
    <t>.......................................................................</t>
  </si>
  <si>
    <t>Провизии за конструктивни задължения в т.ч.</t>
  </si>
  <si>
    <t>Пасиви държани за продажба</t>
  </si>
  <si>
    <t>Приходи от продажби</t>
  </si>
  <si>
    <t>Вид приход</t>
  </si>
  <si>
    <t>Продажби на продукция в т.ч.</t>
  </si>
  <si>
    <t>Продажби на електроенергия</t>
  </si>
  <si>
    <t>Продажби на бетон и бетонови изделия</t>
  </si>
  <si>
    <t>Продажби на ..............................</t>
  </si>
  <si>
    <t>Продажби на стоки в т.ч.</t>
  </si>
  <si>
    <t>Продажби</t>
  </si>
  <si>
    <t>Продажби на услуги в т.ч.</t>
  </si>
  <si>
    <t>Продажби на услуги</t>
  </si>
  <si>
    <t>Продажби на други услуги</t>
  </si>
  <si>
    <t>Услуги по дългосрочни договори в т.ч.</t>
  </si>
  <si>
    <t>начислени на етап</t>
  </si>
  <si>
    <t>Други приходи в т.ч.</t>
  </si>
  <si>
    <t>Продажби на ДМА</t>
  </si>
  <si>
    <t>Възстановена обезценка на ДМА</t>
  </si>
  <si>
    <t>Възстановена обезценка на вземания</t>
  </si>
  <si>
    <t>Приходи от участия</t>
  </si>
  <si>
    <t>Приходи от лихви в т.ч.</t>
  </si>
  <si>
    <t>по заеми</t>
  </si>
  <si>
    <t>по лизингови договори</t>
  </si>
  <si>
    <t>по депозити и сметки</t>
  </si>
  <si>
    <t>търговски вземания</t>
  </si>
  <si>
    <t>други</t>
  </si>
  <si>
    <t>От операции с финансови инструменти</t>
  </si>
  <si>
    <t>Положителни курсови разлики</t>
  </si>
  <si>
    <t>Други финансови приходи</t>
  </si>
  <si>
    <t>Разходи за материали</t>
  </si>
  <si>
    <t>Вид разход</t>
  </si>
  <si>
    <t xml:space="preserve">Основни материали </t>
  </si>
  <si>
    <t>Горивни и смазочни материали</t>
  </si>
  <si>
    <t>Подръжка и ремонт на ДМА</t>
  </si>
  <si>
    <t>Инструменти</t>
  </si>
  <si>
    <t>Работно облекло</t>
  </si>
  <si>
    <t>Ел. енергия</t>
  </si>
  <si>
    <t>Вода</t>
  </si>
  <si>
    <t>Офис материали и консумативи</t>
  </si>
  <si>
    <t>Материали инвентар</t>
  </si>
  <si>
    <t>………………………………………</t>
  </si>
  <si>
    <t>............................................................</t>
  </si>
  <si>
    <t>Подизпълнители</t>
  </si>
  <si>
    <t>Нает транспорт</t>
  </si>
  <si>
    <t>Ремонти</t>
  </si>
  <si>
    <t>Реклама</t>
  </si>
  <si>
    <t>Съобщителни услуги</t>
  </si>
  <si>
    <t>Консултански и други договори</t>
  </si>
  <si>
    <t>Граждански договори и хонорари</t>
  </si>
  <si>
    <t>Застраховки</t>
  </si>
  <si>
    <t>Данъци и такси</t>
  </si>
  <si>
    <t>Охрана</t>
  </si>
  <si>
    <t>Абонаменти</t>
  </si>
  <si>
    <t>Други разходи за външни услуги</t>
  </si>
  <si>
    <t>Наеми</t>
  </si>
  <si>
    <t>Топлоенергия</t>
  </si>
  <si>
    <t>Водоподаване</t>
  </si>
  <si>
    <t>Разходи за амортизации на производствени</t>
  </si>
  <si>
    <t>дълготрайни материални активи</t>
  </si>
  <si>
    <t>дълготрайни нематериални активи</t>
  </si>
  <si>
    <t>Разходи за амортизации на административни</t>
  </si>
  <si>
    <t>Разходи за заплати и осигуровки</t>
  </si>
  <si>
    <t>Разходи за:</t>
  </si>
  <si>
    <t>Разходи за заплати на в т.ч.</t>
  </si>
  <si>
    <t>производствен персонал</t>
  </si>
  <si>
    <t>административен персонал</t>
  </si>
  <si>
    <t>Разходи за осигуровки на в т.ч.</t>
  </si>
  <si>
    <t>в т.ч. разходи по неизпозвани отпуски</t>
  </si>
  <si>
    <t>Разходи от обезценка на дълготрайни активи</t>
  </si>
  <si>
    <t>Разходи от обезценка на търговска репутация</t>
  </si>
  <si>
    <t>Разходи от обезценка на материални запаси</t>
  </si>
  <si>
    <t>Разходи от обезценка на вземания</t>
  </si>
  <si>
    <t>Разходи от обезценка на финансови активи</t>
  </si>
  <si>
    <t>Разходи за командиравки</t>
  </si>
  <si>
    <t>Разходи представителни</t>
  </si>
  <si>
    <t>Разходи за брак</t>
  </si>
  <si>
    <t>Разходи за предпазна храна</t>
  </si>
  <si>
    <t>Разходи за трудова медицина</t>
  </si>
  <si>
    <t>Разходи за глоби и неустойки</t>
  </si>
  <si>
    <t>Разходи за лихви по търговски сделки</t>
  </si>
  <si>
    <t>Разходи за лихви по държавни вземания</t>
  </si>
  <si>
    <t>Разходи за наеми</t>
  </si>
  <si>
    <t>Разходи за алтернативни данъци</t>
  </si>
  <si>
    <t>Разходи за съдебни разноски</t>
  </si>
  <si>
    <t>Корективни суми</t>
  </si>
  <si>
    <t>Балансова стойност на продадени активи /нето/</t>
  </si>
  <si>
    <t>Балансова стойност на продадени активи</t>
  </si>
  <si>
    <t>В това перо не включва балансовата стойност на продадените дълготрайни активи!</t>
  </si>
  <si>
    <t>Възстановена обезценка на стоки</t>
  </si>
  <si>
    <t>Изменение на запасите от продукция /нето/</t>
  </si>
  <si>
    <t>Изменение на запасите от продукция</t>
  </si>
  <si>
    <t>Възстановена обезценка на продукция</t>
  </si>
  <si>
    <t>Капитализирани разходи за активи</t>
  </si>
  <si>
    <t>Други суми с корективен характер</t>
  </si>
  <si>
    <t>Резултат от продажба на дълготрайни активи</t>
  </si>
  <si>
    <t>Балансовата стойност и приходите се въвеждат с положителен знак!</t>
  </si>
  <si>
    <t>В ОПР се посочва само нетния резултат от продажбата!</t>
  </si>
  <si>
    <t>в т.ч. дълготрайни материални активи</t>
  </si>
  <si>
    <t>в т.ч. дълготрайни неатериални активи</t>
  </si>
  <si>
    <t>Приходи от проджба на дълготрайни активи</t>
  </si>
  <si>
    <t>Финансови разходи</t>
  </si>
  <si>
    <t>Разходи за лихви в т.ч.</t>
  </si>
  <si>
    <t>Отрицателни курсови разлики</t>
  </si>
  <si>
    <t>Други финансови разходи</t>
  </si>
  <si>
    <t>Разходи за данъци</t>
  </si>
  <si>
    <t>Данъци от печалбата</t>
  </si>
  <si>
    <t>Договори за строителство</t>
  </si>
  <si>
    <t>ДОГОВОРИ</t>
  </si>
  <si>
    <t xml:space="preserve">Разходи съответст-ващи на признатите приходи </t>
  </si>
  <si>
    <t xml:space="preserve">Начислени приходи </t>
  </si>
  <si>
    <t>Признати печалби</t>
  </si>
  <si>
    <t>Разширение В и К и ел.мрежи Сарафово</t>
  </si>
  <si>
    <t>Канализация к.к.Св.Св.Константин и Елена</t>
  </si>
  <si>
    <t>Реконструкция Нефтопристнище Росенец</t>
  </si>
  <si>
    <t>Преустройство на сграда-Автогара Царево</t>
  </si>
  <si>
    <t>Реконструкция на Стадион-гр.Царево</t>
  </si>
  <si>
    <t>Реконструкция ПС и тласкател-Лопушна</t>
  </si>
  <si>
    <t>Ремонт жилищна сграда с.Резово</t>
  </si>
  <si>
    <r>
      <t>Водоснабдителна система-с.Добра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поляна</t>
    </r>
  </si>
  <si>
    <t>Реконструкция ПТ Топли дол- АМ Хемус</t>
  </si>
  <si>
    <t>Конструктивно укрепване на бул."Ив.Вазов"</t>
  </si>
  <si>
    <t>Корекция на източното дере-кв.Д.Езерово</t>
  </si>
  <si>
    <t>Укрепване Южен бряг- гр.Царево</t>
  </si>
  <si>
    <t>Укрепване свлачище- Северен бряг-гр.Царево</t>
  </si>
  <si>
    <t>Укрепване свлачище-парк Росенец ЛОТ 2</t>
  </si>
  <si>
    <t>Укрепване свлачище кв. Сарафово ЛОТ 3</t>
  </si>
  <si>
    <t>Укрепване свлачище кв. Сарафово</t>
  </si>
  <si>
    <t>Всичко строителни договори</t>
  </si>
  <si>
    <t>Продажби на свързани лица</t>
  </si>
  <si>
    <t>Свързано лице - клиент</t>
  </si>
  <si>
    <t>Вид сделка</t>
  </si>
  <si>
    <t>Трансстрой-Холдинг АД</t>
  </si>
  <si>
    <t>аванс материали, лихви</t>
  </si>
  <si>
    <t>Покупки от свързани лица</t>
  </si>
  <si>
    <t>Свързано лице - доставчик</t>
  </si>
  <si>
    <t>материали, услуги</t>
  </si>
  <si>
    <t>Вземания от свързани лица</t>
  </si>
  <si>
    <t>Гаранции</t>
  </si>
  <si>
    <t>Задължения към свързани лица</t>
  </si>
  <si>
    <t>Заеми предоставени на свързани лица</t>
  </si>
  <si>
    <t>лв</t>
  </si>
  <si>
    <t>Салда по заеми предоставени на свързани лица</t>
  </si>
  <si>
    <t>Начислени приходи от лихви по заеми предоставени на свързани лица</t>
  </si>
  <si>
    <t>Вземане към</t>
  </si>
  <si>
    <t>Начислени</t>
  </si>
  <si>
    <t>Получени</t>
  </si>
  <si>
    <t>Заеми получени от свързани лица</t>
  </si>
  <si>
    <t>Салда по заеми получени от свързани лица</t>
  </si>
  <si>
    <t>Задължение</t>
  </si>
  <si>
    <t>Финансов лизинг - вземания от свързани предприятия</t>
  </si>
  <si>
    <t>Оперативен лизинг - вземания от свързани предприятия</t>
  </si>
  <si>
    <t>Финансов лизинг - задължения към свързани предприятия</t>
  </si>
  <si>
    <t>Оперативен лизинг - задължения към свързани предприятия</t>
  </si>
  <si>
    <t>Доходи на ключов ръководен персонал</t>
  </si>
  <si>
    <t>Вид доход</t>
  </si>
  <si>
    <t>Общо възнаграждения на ключовия ръководен персонал, в т.ч.:</t>
  </si>
  <si>
    <t>Краткосрочни доходи на наети лица</t>
  </si>
  <si>
    <t>Доходи след напускане на работа</t>
  </si>
  <si>
    <t>Други дългосрочни доходи</t>
  </si>
  <si>
    <t>Доходи при напускане</t>
  </si>
  <si>
    <t>Плащания на базата на акции</t>
  </si>
  <si>
    <t>Финансови активи</t>
  </si>
  <si>
    <t>до 1 г.</t>
  </si>
  <si>
    <t>от 1 до 3 г.</t>
  </si>
  <si>
    <t>от 3 до 5 г.</t>
  </si>
  <si>
    <t>на 5 г.</t>
  </si>
  <si>
    <t>Вземания от свързани предприятия в т.ч.</t>
  </si>
  <si>
    <t>Вземания по предоставени търговски заеми</t>
  </si>
  <si>
    <t>Съдебни и присъдени вземания</t>
  </si>
  <si>
    <t>ДДС за възстановяване</t>
  </si>
  <si>
    <t>Надвнесен корпоративен данък</t>
  </si>
  <si>
    <t>Вземания от социално осигуряване</t>
  </si>
  <si>
    <t>Обезценка на несъбираеми вземания</t>
  </si>
  <si>
    <t>Финансови пасиви</t>
  </si>
  <si>
    <t>Задължения по получени търговски заеми</t>
  </si>
  <si>
    <t>Задължения към финансови предприятия</t>
  </si>
  <si>
    <t>в т.ч. по компенсируеми отпуски</t>
  </si>
  <si>
    <t>Задължения към социално осигуряване</t>
  </si>
  <si>
    <t>Данъчни задължения за:</t>
  </si>
  <si>
    <t>Данък добавена стойност</t>
  </si>
  <si>
    <t>Корпоративен данък</t>
  </si>
  <si>
    <t>Предплатени приходи</t>
  </si>
  <si>
    <t>.........................................................................</t>
  </si>
  <si>
    <t>Нетна ликвидна разлика</t>
  </si>
  <si>
    <t>Категории финансови активи и пасиви</t>
  </si>
  <si>
    <t xml:space="preserve">’000 лв </t>
  </si>
  <si>
    <t>’000 лв</t>
  </si>
  <si>
    <t>Финансови активи на разположение за продажба</t>
  </si>
  <si>
    <t>Финансови активи, държани до падеж</t>
  </si>
  <si>
    <t>Деривативни финансови инструменти:</t>
  </si>
  <si>
    <t>- Финансови активи, държани за търгуване (отчитат се по справедлива стойност в печалбата или загубата)</t>
  </si>
  <si>
    <t>Търговски и други вземания:</t>
  </si>
  <si>
    <t>- Кредити и вземания</t>
  </si>
  <si>
    <t>Пари и парични средства</t>
  </si>
  <si>
    <t>Нетекущи пасиви</t>
  </si>
  <si>
    <t>Заеми:</t>
  </si>
  <si>
    <t>- Финансови пасиви, отчитани по справедлива стойност в печалбата или загубата</t>
  </si>
  <si>
    <t>- Финансови пасиви, оценявани по амортизирана стойност</t>
  </si>
  <si>
    <t>-Финансови пасиви, държани за търгуване (отчитани по справедлива стойност в печалбата или загубата)</t>
  </si>
  <si>
    <t>Търговски задължения:</t>
  </si>
  <si>
    <t>ИЗЧИСЛЯВАНЕ ДОХОД НА ОБИКНОВЕННИ АКЦИИ</t>
  </si>
  <si>
    <t>Изчисляване на нетна печалба загуба:</t>
  </si>
  <si>
    <t>Балансова печалба: / загуба</t>
  </si>
  <si>
    <t>Коригиране с:</t>
  </si>
  <si>
    <t>*Задължителни отчисления по закон:</t>
  </si>
  <si>
    <t>данъци</t>
  </si>
  <si>
    <t>отчисл за резерви</t>
  </si>
  <si>
    <t>*Плащания за фин инструменти</t>
  </si>
  <si>
    <t>*Плащания за привилигиров акции</t>
  </si>
  <si>
    <t>*Други</t>
  </si>
  <si>
    <t>Нетна печалба/загуба</t>
  </si>
  <si>
    <t>Изчисляване на средно претеглен брой акции за период</t>
  </si>
  <si>
    <t>Средно времеви фактор:</t>
  </si>
  <si>
    <t>Брой на дни/месеци/ през които конкретните</t>
  </si>
  <si>
    <t>акции са били в обръщение</t>
  </si>
  <si>
    <t>Средновремеви ф-р</t>
  </si>
  <si>
    <t>Изкупени</t>
  </si>
  <si>
    <t>Акции</t>
  </si>
  <si>
    <t>Брой дни</t>
  </si>
  <si>
    <t>Ср.прет</t>
  </si>
  <si>
    <t>Ср.прет бр</t>
  </si>
  <si>
    <t>акции</t>
  </si>
  <si>
    <t>собст.акц</t>
  </si>
  <si>
    <t>в обръщ.</t>
  </si>
  <si>
    <t>в обръщ</t>
  </si>
  <si>
    <t>бр/дни</t>
  </si>
  <si>
    <t>акц/Дни</t>
  </si>
  <si>
    <t>Салдо към:</t>
  </si>
  <si>
    <t xml:space="preserve"> 01.1.2008</t>
  </si>
  <si>
    <t>Салдо на</t>
  </si>
  <si>
    <t xml:space="preserve"> 31.12.2008</t>
  </si>
  <si>
    <t>Всичко ср.претеглен бр.акции</t>
  </si>
  <si>
    <t>Забележка: Изчисл на ср.прет брой се изв на база един от двата варианта който е по подходящ в конкретния случай-дни или месеци</t>
  </si>
  <si>
    <t>Изчисляване на доход от акция:</t>
  </si>
  <si>
    <t>Нетна печалба/загуба:</t>
  </si>
  <si>
    <t>Среднопрет бр.акции/ДНИ/</t>
  </si>
  <si>
    <t>Доход на акция:</t>
  </si>
  <si>
    <t xml:space="preserve">Предоставени гаранции и обезпечения на трети лица </t>
  </si>
  <si>
    <t>Справката се попълва задължително когато:</t>
  </si>
  <si>
    <t>Условни активи</t>
  </si>
  <si>
    <t>Договор/контрагент</t>
  </si>
  <si>
    <t>Учредена гаранция,обезпечение в полза на - контрагент</t>
  </si>
  <si>
    <t xml:space="preserve">Сума на обезпечението </t>
  </si>
  <si>
    <t>1.Дружеството е предоставило обезпечение или гаранция на трето лице по банкови, търговски заеми, лизингови договори , търговски договори</t>
  </si>
  <si>
    <t>2.Трето дружество е обезпечило или гарантирало горепосочените задължения на Вашето дружество</t>
  </si>
  <si>
    <t>3.Тези вземания и задължения по обезпечения и гаранции не са отразени в баланса на дружеството и</t>
  </si>
  <si>
    <t xml:space="preserve">същите са условни активи и пасиви </t>
  </si>
  <si>
    <t xml:space="preserve">Във връзка с чл.41.ал.1 от ЗКПО на регулиране подлежат  разходите за  лихви по банкови заеми </t>
  </si>
  <si>
    <t xml:space="preserve"> и лизингови договори , когато обезпечението по тях е предоставено от свързано лице  </t>
  </si>
  <si>
    <t xml:space="preserve">Предоставени гаранции и обезпечения от трети лица </t>
  </si>
  <si>
    <t>Условни пасиви</t>
  </si>
  <si>
    <t>Учредена гаранция,обезпечение от  контрагент</t>
  </si>
  <si>
    <t>Сума на обезпечението хил.лв</t>
  </si>
  <si>
    <t>Обезценка на активи (МСС 36)</t>
  </si>
  <si>
    <t xml:space="preserve">Имало ли е обезценки на активи през периода? </t>
  </si>
  <si>
    <t>не</t>
  </si>
  <si>
    <t>да</t>
  </si>
  <si>
    <t>х</t>
  </si>
  <si>
    <t>Ако да, моля оповестете следната информация за всяка група активи:</t>
  </si>
  <si>
    <t xml:space="preserve">- Размерът на всяка загуба от обезценка, призната в отчета за приходи и разходи, като посочите и съответната(ите) позиция(и) от ОПР, където е включена загубата </t>
  </si>
  <si>
    <t>- събитията и обстоятелствата, довели до обезценката или до обръщането на обезценка, призната в предходни периоди</t>
  </si>
  <si>
    <t>Валутен риск</t>
  </si>
  <si>
    <t>‘000 лв</t>
  </si>
  <si>
    <t>Номинални стойности</t>
  </si>
  <si>
    <t>Щатски долари</t>
  </si>
  <si>
    <t>Британски лири</t>
  </si>
  <si>
    <t xml:space="preserve">Евро </t>
  </si>
  <si>
    <t>Щатски  долари</t>
  </si>
  <si>
    <t>Евро</t>
  </si>
  <si>
    <t xml:space="preserve">Финансови активи </t>
  </si>
  <si>
    <t xml:space="preserve">Излагане на краткосрочен риск </t>
  </si>
  <si>
    <t xml:space="preserve">Излагане на дългосрочен риск </t>
  </si>
  <si>
    <t>Показатели</t>
  </si>
  <si>
    <t>№</t>
  </si>
  <si>
    <t>Разлика</t>
  </si>
  <si>
    <t>%</t>
  </si>
  <si>
    <t>Дълготрайни активи /общо/</t>
  </si>
  <si>
    <t>Краткотрайни активи в т.ч.</t>
  </si>
  <si>
    <t>Активи държани за продажба</t>
  </si>
  <si>
    <t>-</t>
  </si>
  <si>
    <t>Краткосрочни вземания</t>
  </si>
  <si>
    <t>Краткосрочни финансови активи</t>
  </si>
  <si>
    <t>Обща сума на активите</t>
  </si>
  <si>
    <t>Дългострочни пасиви</t>
  </si>
  <si>
    <t>Краткосрочни пасиви</t>
  </si>
  <si>
    <t>Обща сума на пасивите</t>
  </si>
  <si>
    <t>Приходи общо</t>
  </si>
  <si>
    <t>Разходи общо</t>
  </si>
  <si>
    <t>Коефициенти</t>
  </si>
  <si>
    <t>Рентабилност:</t>
  </si>
  <si>
    <t>На собствения капитал</t>
  </si>
  <si>
    <t>10 //9</t>
  </si>
  <si>
    <t>На активите</t>
  </si>
  <si>
    <t>10//8</t>
  </si>
  <si>
    <t>На пасивите</t>
  </si>
  <si>
    <t>10//13</t>
  </si>
  <si>
    <t>На приходите от продажби</t>
  </si>
  <si>
    <t>10//15</t>
  </si>
  <si>
    <t>Ефективност:</t>
  </si>
  <si>
    <t>На разходите</t>
  </si>
  <si>
    <t>14//16</t>
  </si>
  <si>
    <t>На приходите</t>
  </si>
  <si>
    <t>16//14</t>
  </si>
  <si>
    <t>Ликвидност:</t>
  </si>
  <si>
    <t>Обща ликвидност</t>
  </si>
  <si>
    <t>2//12</t>
  </si>
  <si>
    <t>Бърза ликвидност</t>
  </si>
  <si>
    <t>(2-3-4)//12</t>
  </si>
  <si>
    <t>Незабавна ликвидност</t>
  </si>
  <si>
    <t>(6+7)//12</t>
  </si>
  <si>
    <t>Абсолютна ликвидност</t>
  </si>
  <si>
    <t>7//12</t>
  </si>
  <si>
    <t>Финансова автономност:</t>
  </si>
  <si>
    <t>Финансова автономност</t>
  </si>
  <si>
    <t>9//13</t>
  </si>
  <si>
    <t>Задлъжнялост</t>
  </si>
  <si>
    <t>13//9</t>
  </si>
  <si>
    <t>Нина Богданова</t>
  </si>
  <si>
    <t>Петя Евтимова</t>
  </si>
  <si>
    <t>Петя Парушева Евтимова</t>
  </si>
  <si>
    <t>30.09.2009 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</si>
</sst>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dddd&quot;, &quot;mmmm\ dd&quot;, &quot;yyyy"/>
    <numFmt numFmtId="166" formatCode="_(* #,##0_);_(* \(#,##0\);_(* \-_);_(@_)"/>
    <numFmt numFmtId="167" formatCode="#,##0;\-#,##0"/>
    <numFmt numFmtId="168" formatCode="_(* #,##0_);_(* \(#,##0\);_(* \-??_);_(@_)"/>
    <numFmt numFmtId="169" formatCode="_(* #,##0.00_);_(* \(#,##0.00\);_(* \-??_);_(@_)"/>
    <numFmt numFmtId="170" formatCode="dd\.mm\.yyyy&quot; г.&quot;;@"/>
    <numFmt numFmtId="171" formatCode="##0"/>
    <numFmt numFmtId="172" formatCode="d\ mmm"/>
    <numFmt numFmtId="173" formatCode="d\ mmm\ yy"/>
    <numFmt numFmtId="174" formatCode="dd\.m\.yyyy&quot; г.&quot;;@"/>
    <numFmt numFmtId="175" formatCode="d\.m\.yyyy&quot; г.&quot;;@"/>
    <numFmt numFmtId="176" formatCode="[$-402]dd\ mmmm\ yyyy\ &quot;г.&quot;"/>
    <numFmt numFmtId="177" formatCode="dd/mm/yyyy\ &quot;г.&quot;;@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 Cyr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sz val="23"/>
      <name val="Times New Roman"/>
      <family val="1"/>
    </font>
    <font>
      <i/>
      <sz val="2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10"/>
      <color indexed="10"/>
      <name val="Garamond"/>
      <family val="1"/>
    </font>
    <font>
      <sz val="10"/>
      <name val="Garamond"/>
      <family val="1"/>
    </font>
    <font>
      <b/>
      <sz val="10"/>
      <color indexed="12"/>
      <name val="Garamond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 Cyr"/>
      <family val="1"/>
    </font>
    <font>
      <b/>
      <sz val="11"/>
      <color indexed="44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23" borderId="7" applyNumberFormat="0" applyAlignment="0" applyProtection="0"/>
    <xf numFmtId="0" fontId="18" fillId="20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0" fontId="22" fillId="20" borderId="0" xfId="0" applyFont="1" applyFill="1" applyAlignment="1">
      <alignment/>
    </xf>
    <xf numFmtId="0" fontId="22" fillId="24" borderId="0" xfId="0" applyFont="1" applyFill="1" applyAlignment="1">
      <alignment/>
    </xf>
    <xf numFmtId="164" fontId="22" fillId="20" borderId="0" xfId="0" applyNumberFormat="1" applyFont="1" applyFill="1" applyAlignment="1">
      <alignment/>
    </xf>
    <xf numFmtId="0" fontId="22" fillId="25" borderId="0" xfId="0" applyFont="1" applyFill="1" applyAlignment="1">
      <alignment/>
    </xf>
    <xf numFmtId="0" fontId="22" fillId="7" borderId="0" xfId="0" applyFont="1" applyFill="1" applyAlignment="1">
      <alignment/>
    </xf>
    <xf numFmtId="0" fontId="27" fillId="24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vertical="center" wrapText="1"/>
    </xf>
    <xf numFmtId="0" fontId="22" fillId="20" borderId="0" xfId="0" applyFont="1" applyFill="1" applyAlignment="1">
      <alignment/>
    </xf>
    <xf numFmtId="0" fontId="31" fillId="20" borderId="0" xfId="0" applyFont="1" applyFill="1" applyAlignment="1">
      <alignment vertical="center" wrapText="1"/>
    </xf>
    <xf numFmtId="0" fontId="32" fillId="24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 horizontal="center"/>
    </xf>
    <xf numFmtId="0" fontId="22" fillId="20" borderId="0" xfId="0" applyFont="1" applyFill="1" applyAlignment="1">
      <alignment horizontal="right"/>
    </xf>
    <xf numFmtId="0" fontId="34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0" fontId="34" fillId="24" borderId="0" xfId="0" applyFont="1" applyFill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Alignment="1">
      <alignment horizontal="center"/>
    </xf>
    <xf numFmtId="0" fontId="22" fillId="21" borderId="0" xfId="0" applyFont="1" applyFill="1" applyBorder="1" applyAlignment="1">
      <alignment/>
    </xf>
    <xf numFmtId="0" fontId="22" fillId="21" borderId="0" xfId="0" applyFont="1" applyFill="1" applyBorder="1" applyAlignment="1">
      <alignment horizontal="center"/>
    </xf>
    <xf numFmtId="166" fontId="22" fillId="21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21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166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6" fontId="34" fillId="7" borderId="10" xfId="0" applyNumberFormat="1" applyFont="1" applyFill="1" applyBorder="1" applyAlignment="1">
      <alignment horizontal="right"/>
    </xf>
    <xf numFmtId="167" fontId="40" fillId="0" borderId="0" xfId="0" applyNumberFormat="1" applyFont="1" applyBorder="1" applyAlignment="1">
      <alignment horizontal="right"/>
    </xf>
    <xf numFmtId="0" fontId="40" fillId="0" borderId="0" xfId="0" applyFont="1" applyFill="1" applyBorder="1" applyAlignment="1">
      <alignment/>
    </xf>
    <xf numFmtId="0" fontId="40" fillId="21" borderId="0" xfId="0" applyFont="1" applyFill="1" applyBorder="1" applyAlignment="1">
      <alignment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/>
    </xf>
    <xf numFmtId="166" fontId="40" fillId="0" borderId="0" xfId="0" applyNumberFormat="1" applyFont="1" applyBorder="1" applyAlignment="1">
      <alignment horizontal="right"/>
    </xf>
    <xf numFmtId="168" fontId="34" fillId="0" borderId="0" xfId="0" applyNumberFormat="1" applyFont="1" applyBorder="1" applyAlignment="1">
      <alignment horizontal="right"/>
    </xf>
    <xf numFmtId="0" fontId="40" fillId="0" borderId="0" xfId="0" applyNumberFormat="1" applyFont="1" applyBorder="1" applyAlignment="1">
      <alignment horizontal="center"/>
    </xf>
    <xf numFmtId="166" fontId="34" fillId="0" borderId="0" xfId="0" applyNumberFormat="1" applyFont="1" applyBorder="1" applyAlignment="1">
      <alignment horizontal="right"/>
    </xf>
    <xf numFmtId="167" fontId="34" fillId="0" borderId="0" xfId="0" applyNumberFormat="1" applyFont="1" applyBorder="1" applyAlignment="1">
      <alignment horizontal="right"/>
    </xf>
    <xf numFmtId="0" fontId="34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center"/>
    </xf>
    <xf numFmtId="166" fontId="34" fillId="7" borderId="11" xfId="0" applyNumberFormat="1" applyFont="1" applyFill="1" applyBorder="1" applyAlignment="1">
      <alignment horizontal="right"/>
    </xf>
    <xf numFmtId="169" fontId="34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right"/>
    </xf>
    <xf numFmtId="0" fontId="40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7" fontId="40" fillId="0" borderId="0" xfId="0" applyNumberFormat="1" applyFont="1" applyFill="1" applyBorder="1" applyAlignment="1">
      <alignment horizontal="right"/>
    </xf>
    <xf numFmtId="166" fontId="40" fillId="0" borderId="0" xfId="0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wrapText="1"/>
    </xf>
    <xf numFmtId="166" fontId="34" fillId="24" borderId="0" xfId="0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169" fontId="34" fillId="0" borderId="0" xfId="0" applyNumberFormat="1" applyFont="1" applyFill="1" applyBorder="1" applyAlignment="1">
      <alignment horizontal="right"/>
    </xf>
    <xf numFmtId="166" fontId="41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 applyAlignment="1">
      <alignment horizontal="right"/>
    </xf>
    <xf numFmtId="0" fontId="42" fillId="24" borderId="0" xfId="0" applyFont="1" applyFill="1" applyBorder="1" applyAlignment="1">
      <alignment/>
    </xf>
    <xf numFmtId="166" fontId="28" fillId="24" borderId="0" xfId="0" applyNumberFormat="1" applyFont="1" applyFill="1" applyBorder="1" applyAlignment="1">
      <alignment horizontal="right"/>
    </xf>
    <xf numFmtId="0" fontId="43" fillId="24" borderId="0" xfId="57" applyFont="1" applyFill="1" applyBorder="1" applyAlignment="1">
      <alignment vertical="center"/>
      <protection/>
    </xf>
    <xf numFmtId="0" fontId="44" fillId="24" borderId="0" xfId="57" applyFont="1" applyFill="1" applyBorder="1" applyAlignment="1">
      <alignment vertical="center"/>
      <protection/>
    </xf>
    <xf numFmtId="0" fontId="45" fillId="24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4" fillId="24" borderId="0" xfId="57" applyFont="1" applyFill="1" applyBorder="1" applyAlignment="1">
      <alignment vertical="center"/>
      <protection/>
    </xf>
    <xf numFmtId="0" fontId="22" fillId="24" borderId="0" xfId="0" applyFont="1" applyFill="1" applyBorder="1" applyAlignment="1">
      <alignment horizontal="center"/>
    </xf>
    <xf numFmtId="166" fontId="22" fillId="24" borderId="0" xfId="0" applyNumberFormat="1" applyFont="1" applyFill="1" applyBorder="1" applyAlignment="1">
      <alignment horizontal="right"/>
    </xf>
    <xf numFmtId="0" fontId="34" fillId="24" borderId="0" xfId="58" applyFont="1" applyFill="1" applyAlignment="1">
      <alignment/>
      <protection/>
    </xf>
    <xf numFmtId="0" fontId="34" fillId="24" borderId="0" xfId="58" applyFont="1" applyFill="1" applyAlignment="1">
      <alignment horizontal="right"/>
      <protection/>
    </xf>
    <xf numFmtId="0" fontId="46" fillId="24" borderId="0" xfId="0" applyFont="1" applyFill="1" applyBorder="1" applyAlignment="1">
      <alignment/>
    </xf>
    <xf numFmtId="0" fontId="47" fillId="24" borderId="0" xfId="0" applyFont="1" applyFill="1" applyBorder="1" applyAlignment="1">
      <alignment/>
    </xf>
    <xf numFmtId="0" fontId="44" fillId="21" borderId="0" xfId="0" applyFont="1" applyFill="1" applyBorder="1" applyAlignment="1">
      <alignment horizontal="right"/>
    </xf>
    <xf numFmtId="0" fontId="44" fillId="21" borderId="0" xfId="0" applyFont="1" applyFill="1" applyBorder="1" applyAlignment="1">
      <alignment/>
    </xf>
    <xf numFmtId="0" fontId="40" fillId="21" borderId="0" xfId="0" applyFont="1" applyFill="1" applyBorder="1" applyAlignment="1">
      <alignment horizontal="center" wrapText="1"/>
    </xf>
    <xf numFmtId="0" fontId="40" fillId="21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/>
    </xf>
    <xf numFmtId="0" fontId="40" fillId="21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170" fontId="34" fillId="0" borderId="0" xfId="0" applyNumberFormat="1" applyFont="1" applyFill="1" applyBorder="1" applyAlignment="1">
      <alignment horizontal="right" vertical="center" wrapText="1"/>
    </xf>
    <xf numFmtId="0" fontId="34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0" fillId="21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 wrapText="1"/>
    </xf>
    <xf numFmtId="0" fontId="40" fillId="0" borderId="1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wrapText="1"/>
    </xf>
    <xf numFmtId="168" fontId="40" fillId="0" borderId="10" xfId="0" applyNumberFormat="1" applyFont="1" applyFill="1" applyBorder="1" applyAlignment="1">
      <alignment/>
    </xf>
    <xf numFmtId="168" fontId="40" fillId="0" borderId="0" xfId="0" applyNumberFormat="1" applyFont="1" applyBorder="1" applyAlignment="1">
      <alignment/>
    </xf>
    <xf numFmtId="171" fontId="40" fillId="0" borderId="0" xfId="0" applyNumberFormat="1" applyFont="1" applyFill="1" applyBorder="1" applyAlignment="1">
      <alignment/>
    </xf>
    <xf numFmtId="171" fontId="40" fillId="0" borderId="0" xfId="0" applyNumberFormat="1" applyFont="1" applyBorder="1" applyAlignment="1">
      <alignment/>
    </xf>
    <xf numFmtId="172" fontId="40" fillId="0" borderId="10" xfId="0" applyNumberFormat="1" applyFont="1" applyBorder="1" applyAlignment="1">
      <alignment horizontal="center" wrapText="1"/>
    </xf>
    <xf numFmtId="168" fontId="40" fillId="0" borderId="0" xfId="0" applyNumberFormat="1" applyFont="1" applyFill="1" applyBorder="1" applyAlignment="1">
      <alignment/>
    </xf>
    <xf numFmtId="168" fontId="34" fillId="0" borderId="0" xfId="0" applyNumberFormat="1" applyFont="1" applyFill="1" applyBorder="1" applyAlignment="1">
      <alignment/>
    </xf>
    <xf numFmtId="0" fontId="34" fillId="7" borderId="10" xfId="0" applyFont="1" applyFill="1" applyBorder="1" applyAlignment="1">
      <alignment horizontal="left" vertical="center"/>
    </xf>
    <xf numFmtId="168" fontId="40" fillId="7" borderId="10" xfId="0" applyNumberFormat="1" applyFont="1" applyFill="1" applyBorder="1" applyAlignment="1">
      <alignment/>
    </xf>
    <xf numFmtId="168" fontId="34" fillId="7" borderId="10" xfId="0" applyNumberFormat="1" applyFont="1" applyFill="1" applyBorder="1" applyAlignment="1">
      <alignment/>
    </xf>
    <xf numFmtId="168" fontId="34" fillId="0" borderId="0" xfId="60" applyNumberFormat="1" applyFont="1" applyFill="1" applyBorder="1" applyAlignment="1">
      <alignment vertical="center"/>
      <protection/>
    </xf>
    <xf numFmtId="168" fontId="40" fillId="0" borderId="0" xfId="60" applyNumberFormat="1" applyFont="1" applyFill="1" applyBorder="1" applyAlignment="1">
      <alignment vertical="center"/>
      <protection/>
    </xf>
    <xf numFmtId="0" fontId="38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/>
    </xf>
    <xf numFmtId="168" fontId="34" fillId="0" borderId="0" xfId="0" applyNumberFormat="1" applyFont="1" applyBorder="1" applyAlignment="1">
      <alignment/>
    </xf>
    <xf numFmtId="0" fontId="37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168" fontId="34" fillId="7" borderId="12" xfId="60" applyNumberFormat="1" applyFont="1" applyFill="1" applyBorder="1" applyAlignment="1">
      <alignment horizontal="left" vertical="center"/>
      <protection/>
    </xf>
    <xf numFmtId="0" fontId="34" fillId="0" borderId="0" xfId="0" applyFont="1" applyFill="1" applyBorder="1" applyAlignment="1">
      <alignment horizontal="left" vertical="center"/>
    </xf>
    <xf numFmtId="168" fontId="34" fillId="7" borderId="12" xfId="60" applyNumberFormat="1" applyFont="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 wrapText="1"/>
    </xf>
    <xf numFmtId="168" fontId="34" fillId="0" borderId="0" xfId="60" applyNumberFormat="1" applyFont="1" applyFill="1" applyBorder="1" applyAlignment="1">
      <alignment horizontal="left" vertical="center"/>
      <protection/>
    </xf>
    <xf numFmtId="166" fontId="40" fillId="0" borderId="0" xfId="60" applyNumberFormat="1" applyFont="1" applyFill="1" applyBorder="1" applyAlignment="1">
      <alignment horizontal="center" vertical="center"/>
      <protection/>
    </xf>
    <xf numFmtId="166" fontId="34" fillId="0" borderId="0" xfId="60" applyNumberFormat="1" applyFont="1" applyFill="1" applyBorder="1" applyAlignment="1">
      <alignment vertical="center"/>
      <protection/>
    </xf>
    <xf numFmtId="0" fontId="34" fillId="0" borderId="10" xfId="0" applyFont="1" applyBorder="1" applyAlignment="1">
      <alignment horizontal="left" vertical="center"/>
    </xf>
    <xf numFmtId="166" fontId="40" fillId="0" borderId="10" xfId="60" applyNumberFormat="1" applyFont="1" applyFill="1" applyBorder="1" applyAlignment="1">
      <alignment horizontal="center" vertical="center"/>
      <protection/>
    </xf>
    <xf numFmtId="166" fontId="34" fillId="0" borderId="10" xfId="60" applyNumberFormat="1" applyFont="1" applyFill="1" applyBorder="1" applyAlignment="1">
      <alignment vertical="center"/>
      <protection/>
    </xf>
    <xf numFmtId="164" fontId="34" fillId="0" borderId="0" xfId="0" applyNumberFormat="1" applyFont="1" applyBorder="1" applyAlignment="1">
      <alignment horizontal="center" wrapText="1"/>
    </xf>
    <xf numFmtId="166" fontId="40" fillId="0" borderId="0" xfId="60" applyNumberFormat="1" applyFont="1" applyFill="1" applyBorder="1" applyAlignment="1">
      <alignment vertical="center"/>
      <protection/>
    </xf>
    <xf numFmtId="168" fontId="40" fillId="0" borderId="0" xfId="0" applyNumberFormat="1" applyFont="1" applyFill="1" applyBorder="1" applyAlignment="1">
      <alignment/>
    </xf>
    <xf numFmtId="168" fontId="40" fillId="0" borderId="0" xfId="0" applyNumberFormat="1" applyFont="1" applyBorder="1" applyAlignment="1">
      <alignment/>
    </xf>
    <xf numFmtId="168" fontId="34" fillId="0" borderId="10" xfId="0" applyNumberFormat="1" applyFont="1" applyFill="1" applyBorder="1" applyAlignment="1">
      <alignment/>
    </xf>
    <xf numFmtId="164" fontId="40" fillId="0" borderId="10" xfId="0" applyNumberFormat="1" applyFont="1" applyBorder="1" applyAlignment="1">
      <alignment horizontal="center" wrapText="1"/>
    </xf>
    <xf numFmtId="168" fontId="40" fillId="21" borderId="0" xfId="0" applyNumberFormat="1" applyFont="1" applyFill="1" applyBorder="1" applyAlignment="1">
      <alignment/>
    </xf>
    <xf numFmtId="168" fontId="34" fillId="7" borderId="10" xfId="60" applyNumberFormat="1" applyFont="1" applyFill="1" applyBorder="1" applyAlignment="1">
      <alignment horizontal="left" vertical="center"/>
      <protection/>
    </xf>
    <xf numFmtId="168" fontId="34" fillId="7" borderId="10" xfId="60" applyNumberFormat="1" applyFont="1" applyFill="1" applyBorder="1" applyAlignment="1">
      <alignment vertical="center"/>
      <protection/>
    </xf>
    <xf numFmtId="166" fontId="40" fillId="0" borderId="10" xfId="60" applyNumberFormat="1" applyFont="1" applyFill="1" applyBorder="1" applyAlignment="1">
      <alignment vertical="center"/>
      <protection/>
    </xf>
    <xf numFmtId="168" fontId="40" fillId="22" borderId="10" xfId="0" applyNumberFormat="1" applyFont="1" applyFill="1" applyBorder="1" applyAlignment="1">
      <alignment/>
    </xf>
    <xf numFmtId="168" fontId="34" fillId="0" borderId="0" xfId="0" applyNumberFormat="1" applyFont="1" applyFill="1" applyBorder="1" applyAlignment="1">
      <alignment/>
    </xf>
    <xf numFmtId="168" fontId="34" fillId="0" borderId="0" xfId="0" applyNumberFormat="1" applyFont="1" applyBorder="1" applyAlignment="1">
      <alignment/>
    </xf>
    <xf numFmtId="166" fontId="40" fillId="21" borderId="0" xfId="0" applyNumberFormat="1" applyFont="1" applyFill="1" applyBorder="1" applyAlignment="1">
      <alignment/>
    </xf>
    <xf numFmtId="0" fontId="40" fillId="0" borderId="10" xfId="60" applyNumberFormat="1" applyFont="1" applyFill="1" applyBorder="1" applyAlignment="1">
      <alignment horizontal="center" vertical="center"/>
      <protection/>
    </xf>
    <xf numFmtId="168" fontId="40" fillId="0" borderId="10" xfId="0" applyNumberFormat="1" applyFont="1" applyFill="1" applyBorder="1" applyAlignment="1">
      <alignment/>
    </xf>
    <xf numFmtId="0" fontId="40" fillId="24" borderId="0" xfId="0" applyFont="1" applyFill="1" applyBorder="1" applyAlignment="1">
      <alignment horizontal="center"/>
    </xf>
    <xf numFmtId="171" fontId="41" fillId="24" borderId="0" xfId="0" applyNumberFormat="1" applyFont="1" applyFill="1" applyBorder="1" applyAlignment="1">
      <alignment/>
    </xf>
    <xf numFmtId="171" fontId="40" fillId="24" borderId="0" xfId="0" applyNumberFormat="1" applyFont="1" applyFill="1" applyBorder="1" applyAlignment="1">
      <alignment/>
    </xf>
    <xf numFmtId="0" fontId="40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171" fontId="28" fillId="24" borderId="0" xfId="0" applyNumberFormat="1" applyFont="1" applyFill="1" applyBorder="1" applyAlignment="1">
      <alignment/>
    </xf>
    <xf numFmtId="0" fontId="44" fillId="24" borderId="0" xfId="0" applyFont="1" applyFill="1" applyBorder="1" applyAlignment="1">
      <alignment/>
    </xf>
    <xf numFmtId="0" fontId="40" fillId="24" borderId="0" xfId="0" applyFont="1" applyFill="1" applyBorder="1" applyAlignment="1">
      <alignment horizontal="center" wrapText="1"/>
    </xf>
    <xf numFmtId="168" fontId="40" fillId="24" borderId="0" xfId="0" applyNumberFormat="1" applyFont="1" applyFill="1" applyBorder="1" applyAlignment="1">
      <alignment/>
    </xf>
    <xf numFmtId="0" fontId="34" fillId="24" borderId="0" xfId="57" applyFont="1" applyFill="1" applyBorder="1" applyAlignment="1">
      <alignment horizontal="right" vertical="center"/>
      <protection/>
    </xf>
    <xf numFmtId="0" fontId="44" fillId="21" borderId="0" xfId="57" applyFont="1" applyFill="1" applyBorder="1" applyAlignment="1">
      <alignment vertical="center"/>
      <protection/>
    </xf>
    <xf numFmtId="0" fontId="38" fillId="21" borderId="0" xfId="0" applyFont="1" applyFill="1" applyBorder="1" applyAlignment="1">
      <alignment/>
    </xf>
    <xf numFmtId="0" fontId="34" fillId="21" borderId="0" xfId="57" applyFont="1" applyFill="1" applyBorder="1" applyAlignment="1">
      <alignment vertical="center"/>
      <protection/>
    </xf>
    <xf numFmtId="0" fontId="34" fillId="21" borderId="0" xfId="58" applyFont="1" applyFill="1" applyAlignment="1">
      <alignment horizontal="right"/>
      <protection/>
    </xf>
    <xf numFmtId="0" fontId="34" fillId="21" borderId="0" xfId="57" applyFont="1" applyFill="1" applyBorder="1" applyAlignment="1">
      <alignment horizontal="right" vertical="center"/>
      <protection/>
    </xf>
    <xf numFmtId="0" fontId="34" fillId="21" borderId="0" xfId="0" applyFont="1" applyFill="1" applyBorder="1" applyAlignment="1">
      <alignment/>
    </xf>
    <xf numFmtId="0" fontId="34" fillId="21" borderId="0" xfId="0" applyFont="1" applyFill="1" applyBorder="1" applyAlignment="1">
      <alignment horizontal="right"/>
    </xf>
    <xf numFmtId="0" fontId="40" fillId="21" borderId="0" xfId="58" applyFont="1" applyFill="1">
      <alignment/>
      <protection/>
    </xf>
    <xf numFmtId="0" fontId="40" fillId="21" borderId="0" xfId="58" applyFont="1" applyFill="1" applyAlignment="1">
      <alignment horizontal="center"/>
      <protection/>
    </xf>
    <xf numFmtId="166" fontId="40" fillId="21" borderId="0" xfId="58" applyNumberFormat="1" applyFont="1" applyFill="1" applyAlignment="1">
      <alignment horizontal="right"/>
      <protection/>
    </xf>
    <xf numFmtId="0" fontId="40" fillId="21" borderId="0" xfId="58" applyFont="1" applyFill="1" applyBorder="1" applyAlignment="1">
      <alignment horizontal="center"/>
      <protection/>
    </xf>
    <xf numFmtId="0" fontId="22" fillId="21" borderId="0" xfId="0" applyFont="1" applyFill="1" applyAlignment="1">
      <alignment/>
    </xf>
    <xf numFmtId="0" fontId="22" fillId="0" borderId="0" xfId="0" applyFont="1" applyAlignment="1">
      <alignment/>
    </xf>
    <xf numFmtId="0" fontId="40" fillId="0" borderId="0" xfId="61" applyFont="1" applyFill="1" applyBorder="1" applyAlignment="1">
      <alignment horizontal="left" vertical="center"/>
      <protection/>
    </xf>
    <xf numFmtId="173" fontId="43" fillId="0" borderId="0" xfId="57" applyNumberFormat="1" applyFont="1" applyFill="1" applyBorder="1" applyAlignment="1">
      <alignment horizontal="center" vertical="center" wrapText="1"/>
      <protection/>
    </xf>
    <xf numFmtId="1" fontId="43" fillId="0" borderId="0" xfId="59" applyNumberFormat="1" applyFont="1" applyFill="1" applyBorder="1" applyAlignment="1">
      <alignment horizontal="right" vertical="center" wrapText="1"/>
      <protection/>
    </xf>
    <xf numFmtId="166" fontId="43" fillId="0" borderId="0" xfId="59" applyNumberFormat="1" applyFont="1" applyFill="1" applyBorder="1" applyAlignment="1">
      <alignment horizontal="right" vertical="center" wrapText="1"/>
      <protection/>
    </xf>
    <xf numFmtId="49" fontId="43" fillId="0" borderId="0" xfId="59" applyNumberFormat="1" applyFont="1" applyFill="1" applyBorder="1" applyAlignment="1">
      <alignment horizontal="right" vertical="center" wrapText="1"/>
      <protection/>
    </xf>
    <xf numFmtId="0" fontId="43" fillId="0" borderId="0" xfId="58" applyFont="1" applyFill="1" applyBorder="1" applyAlignment="1">
      <alignment vertical="top" wrapText="1"/>
      <protection/>
    </xf>
    <xf numFmtId="0" fontId="40" fillId="0" borderId="0" xfId="58" applyFont="1" applyFill="1" applyBorder="1" applyAlignment="1">
      <alignment horizontal="center"/>
      <protection/>
    </xf>
    <xf numFmtId="166" fontId="40" fillId="0" borderId="0" xfId="58" applyNumberFormat="1" applyFont="1" applyFill="1" applyBorder="1" applyAlignment="1">
      <alignment horizontal="right"/>
      <protection/>
    </xf>
    <xf numFmtId="166" fontId="40" fillId="0" borderId="0" xfId="58" applyNumberFormat="1" applyFont="1" applyFill="1" applyBorder="1">
      <alignment/>
      <protection/>
    </xf>
    <xf numFmtId="0" fontId="50" fillId="0" borderId="0" xfId="58" applyFont="1" applyFill="1" applyBorder="1" applyAlignment="1">
      <alignment vertical="top" wrapText="1"/>
      <protection/>
    </xf>
    <xf numFmtId="0" fontId="34" fillId="0" borderId="0" xfId="58" applyFont="1" applyFill="1" applyBorder="1" applyAlignment="1">
      <alignment horizontal="center"/>
      <protection/>
    </xf>
    <xf numFmtId="166" fontId="34" fillId="7" borderId="12" xfId="58" applyNumberFormat="1" applyFont="1" applyFill="1" applyBorder="1" applyAlignment="1">
      <alignment horizontal="left"/>
      <protection/>
    </xf>
    <xf numFmtId="166" fontId="34" fillId="7" borderId="12" xfId="58" applyNumberFormat="1" applyFont="1" applyFill="1" applyBorder="1" applyAlignment="1">
      <alignment horizontal="right"/>
      <protection/>
    </xf>
    <xf numFmtId="166" fontId="34" fillId="0" borderId="0" xfId="58" applyNumberFormat="1" applyFont="1" applyFill="1" applyBorder="1">
      <alignment/>
      <protection/>
    </xf>
    <xf numFmtId="0" fontId="50" fillId="0" borderId="0" xfId="58" applyFont="1" applyFill="1" applyBorder="1" applyAlignment="1">
      <alignment vertical="top"/>
      <protection/>
    </xf>
    <xf numFmtId="166" fontId="34" fillId="0" borderId="0" xfId="58" applyNumberFormat="1" applyFont="1" applyFill="1" applyBorder="1" applyAlignment="1">
      <alignment horizontal="right"/>
      <protection/>
    </xf>
    <xf numFmtId="0" fontId="40" fillId="0" borderId="0" xfId="58" applyFont="1" applyFill="1" applyBorder="1">
      <alignment/>
      <protection/>
    </xf>
    <xf numFmtId="166" fontId="34" fillId="7" borderId="13" xfId="58" applyNumberFormat="1" applyFont="1" applyFill="1" applyBorder="1" applyAlignment="1">
      <alignment horizontal="left" vertical="top" wrapText="1"/>
      <protection/>
    </xf>
    <xf numFmtId="166" fontId="34" fillId="7" borderId="13" xfId="58" applyNumberFormat="1" applyFont="1" applyFill="1" applyBorder="1" applyAlignment="1">
      <alignment horizontal="right"/>
      <protection/>
    </xf>
    <xf numFmtId="166" fontId="34" fillId="0" borderId="0" xfId="58" applyNumberFormat="1" applyFont="1" applyFill="1" applyBorder="1" applyAlignment="1">
      <alignment horizontal="center"/>
      <protection/>
    </xf>
    <xf numFmtId="166" fontId="34" fillId="7" borderId="14" xfId="58" applyNumberFormat="1" applyFont="1" applyFill="1" applyBorder="1" applyAlignment="1">
      <alignment horizontal="left" vertical="top" wrapText="1"/>
      <protection/>
    </xf>
    <xf numFmtId="166" fontId="34" fillId="7" borderId="14" xfId="58" applyNumberFormat="1" applyFont="1" applyFill="1" applyBorder="1" applyAlignment="1">
      <alignment horizontal="right"/>
      <protection/>
    </xf>
    <xf numFmtId="0" fontId="41" fillId="24" borderId="0" xfId="58" applyFont="1" applyFill="1" applyBorder="1" applyAlignment="1">
      <alignment horizontal="right"/>
      <protection/>
    </xf>
    <xf numFmtId="0" fontId="40" fillId="24" borderId="0" xfId="58" applyFont="1" applyFill="1" applyBorder="1" applyAlignment="1">
      <alignment horizontal="center"/>
      <protection/>
    </xf>
    <xf numFmtId="166" fontId="41" fillId="24" borderId="0" xfId="58" applyNumberFormat="1" applyFont="1" applyFill="1" applyBorder="1" applyAlignment="1">
      <alignment horizontal="right"/>
      <protection/>
    </xf>
    <xf numFmtId="0" fontId="49" fillId="24" borderId="0" xfId="58" applyFont="1" applyFill="1" applyBorder="1" applyAlignment="1">
      <alignment horizontal="center"/>
      <protection/>
    </xf>
    <xf numFmtId="0" fontId="28" fillId="24" borderId="0" xfId="58" applyFont="1" applyFill="1" applyBorder="1" applyAlignment="1">
      <alignment horizontal="right"/>
      <protection/>
    </xf>
    <xf numFmtId="0" fontId="23" fillId="24" borderId="0" xfId="58" applyFont="1" applyFill="1" applyBorder="1" applyAlignment="1">
      <alignment horizontal="center"/>
      <protection/>
    </xf>
    <xf numFmtId="166" fontId="28" fillId="24" borderId="0" xfId="58" applyNumberFormat="1" applyFont="1" applyFill="1" applyBorder="1" applyAlignment="1">
      <alignment horizontal="right"/>
      <protection/>
    </xf>
    <xf numFmtId="166" fontId="49" fillId="24" borderId="0" xfId="58" applyNumberFormat="1" applyFont="1" applyFill="1" applyBorder="1" applyAlignment="1">
      <alignment horizontal="right"/>
      <protection/>
    </xf>
    <xf numFmtId="166" fontId="40" fillId="24" borderId="0" xfId="58" applyNumberFormat="1" applyFont="1" applyFill="1" applyBorder="1" applyAlignment="1">
      <alignment horizontal="right"/>
      <protection/>
    </xf>
    <xf numFmtId="0" fontId="34" fillId="24" borderId="0" xfId="58" applyFont="1" applyFill="1" applyBorder="1" applyAlignment="1">
      <alignment horizontal="center"/>
      <protection/>
    </xf>
    <xf numFmtId="166" fontId="34" fillId="24" borderId="0" xfId="58" applyNumberFormat="1" applyFont="1" applyFill="1" applyBorder="1" applyAlignment="1">
      <alignment horizontal="right"/>
      <protection/>
    </xf>
    <xf numFmtId="0" fontId="34" fillId="0" borderId="0" xfId="0" applyFont="1" applyAlignment="1">
      <alignment/>
    </xf>
    <xf numFmtId="0" fontId="34" fillId="21" borderId="0" xfId="0" applyFont="1" applyFill="1" applyAlignment="1">
      <alignment/>
    </xf>
    <xf numFmtId="0" fontId="40" fillId="24" borderId="0" xfId="58" applyFont="1" applyFill="1" applyAlignment="1">
      <alignment horizontal="center"/>
      <protection/>
    </xf>
    <xf numFmtId="166" fontId="40" fillId="24" borderId="0" xfId="58" applyNumberFormat="1" applyFont="1" applyFill="1" applyAlignment="1">
      <alignment horizontal="right"/>
      <protection/>
    </xf>
    <xf numFmtId="166" fontId="38" fillId="24" borderId="0" xfId="58" applyNumberFormat="1" applyFont="1" applyFill="1" applyAlignment="1">
      <alignment horizontal="center"/>
      <protection/>
    </xf>
    <xf numFmtId="0" fontId="22" fillId="0" borderId="0" xfId="0" applyFont="1" applyFill="1" applyAlignment="1">
      <alignment/>
    </xf>
    <xf numFmtId="0" fontId="48" fillId="21" borderId="0" xfId="57" applyFont="1" applyFill="1" applyBorder="1" applyAlignment="1">
      <alignment vertical="center"/>
      <protection/>
    </xf>
    <xf numFmtId="0" fontId="22" fillId="21" borderId="0" xfId="59" applyNumberFormat="1" applyFont="1" applyFill="1" applyBorder="1" applyAlignment="1" applyProtection="1">
      <alignment vertical="top"/>
      <protection/>
    </xf>
    <xf numFmtId="0" fontId="40" fillId="21" borderId="0" xfId="59" applyNumberFormat="1" applyFont="1" applyFill="1" applyBorder="1" applyAlignment="1" applyProtection="1">
      <alignment vertical="top"/>
      <protection/>
    </xf>
    <xf numFmtId="0" fontId="40" fillId="0" borderId="0" xfId="59" applyNumberFormat="1" applyFont="1" applyFill="1" applyBorder="1" applyAlignment="1" applyProtection="1">
      <alignment vertical="top"/>
      <protection/>
    </xf>
    <xf numFmtId="0" fontId="22" fillId="0" borderId="0" xfId="59" applyNumberFormat="1" applyFont="1" applyFill="1" applyBorder="1" applyAlignment="1" applyProtection="1">
      <alignment/>
      <protection/>
    </xf>
    <xf numFmtId="0" fontId="45" fillId="0" borderId="0" xfId="59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40" fillId="21" borderId="0" xfId="59" applyNumberFormat="1" applyFont="1" applyFill="1" applyBorder="1" applyAlignment="1" applyProtection="1">
      <alignment vertical="top"/>
      <protection locked="0"/>
    </xf>
    <xf numFmtId="0" fontId="22" fillId="0" borderId="0" xfId="0" applyFont="1" applyBorder="1" applyAlignment="1">
      <alignment/>
    </xf>
    <xf numFmtId="0" fontId="33" fillId="0" borderId="10" xfId="0" applyFont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0" xfId="59" applyNumberFormat="1" applyFont="1" applyFill="1" applyBorder="1" applyAlignment="1" applyProtection="1">
      <alignment vertical="center"/>
      <protection/>
    </xf>
    <xf numFmtId="171" fontId="40" fillId="0" borderId="13" xfId="59" applyNumberFormat="1" applyFont="1" applyFill="1" applyBorder="1" applyAlignment="1" applyProtection="1">
      <alignment vertical="center"/>
      <protection/>
    </xf>
    <xf numFmtId="171" fontId="40" fillId="0" borderId="0" xfId="59" applyNumberFormat="1" applyFont="1" applyFill="1" applyBorder="1" applyAlignment="1" applyProtection="1">
      <alignment vertical="center"/>
      <protection/>
    </xf>
    <xf numFmtId="0" fontId="40" fillId="0" borderId="0" xfId="59" applyNumberFormat="1" applyFont="1" applyFill="1" applyBorder="1" applyAlignment="1" applyProtection="1">
      <alignment vertical="center"/>
      <protection/>
    </xf>
    <xf numFmtId="168" fontId="49" fillId="0" borderId="0" xfId="59" applyNumberFormat="1" applyFont="1" applyFill="1" applyBorder="1" applyAlignment="1" applyProtection="1">
      <alignment vertical="center"/>
      <protection/>
    </xf>
    <xf numFmtId="168" fontId="34" fillId="0" borderId="10" xfId="42" applyNumberFormat="1" applyFont="1" applyFill="1" applyBorder="1" applyAlignment="1" applyProtection="1">
      <alignment vertical="center"/>
      <protection/>
    </xf>
    <xf numFmtId="0" fontId="40" fillId="21" borderId="0" xfId="59" applyNumberFormat="1" applyFont="1" applyFill="1" applyBorder="1" applyAlignment="1" applyProtection="1">
      <alignment vertical="center"/>
      <protection/>
    </xf>
    <xf numFmtId="168" fontId="34" fillId="7" borderId="14" xfId="42" applyNumberFormat="1" applyFont="1" applyFill="1" applyBorder="1" applyAlignment="1" applyProtection="1">
      <alignment horizontal="left" vertical="center"/>
      <protection/>
    </xf>
    <xf numFmtId="168" fontId="34" fillId="7" borderId="14" xfId="42" applyNumberFormat="1" applyFont="1" applyFill="1" applyBorder="1" applyAlignment="1" applyProtection="1">
      <alignment horizontal="right" vertical="center"/>
      <protection/>
    </xf>
    <xf numFmtId="168" fontId="34" fillId="0" borderId="0" xfId="42" applyNumberFormat="1" applyFont="1" applyFill="1" applyBorder="1" applyAlignment="1" applyProtection="1">
      <alignment horizontal="right" vertical="center"/>
      <protection/>
    </xf>
    <xf numFmtId="168" fontId="34" fillId="7" borderId="14" xfId="42" applyNumberFormat="1" applyFont="1" applyFill="1" applyBorder="1" applyAlignment="1" applyProtection="1">
      <alignment vertical="center"/>
      <protection/>
    </xf>
    <xf numFmtId="0" fontId="34" fillId="21" borderId="0" xfId="59" applyNumberFormat="1" applyFont="1" applyFill="1" applyBorder="1" applyAlignment="1" applyProtection="1">
      <alignment vertical="center"/>
      <protection/>
    </xf>
    <xf numFmtId="168" fontId="34" fillId="0" borderId="0" xfId="42" applyNumberFormat="1" applyFont="1" applyFill="1" applyBorder="1" applyAlignment="1" applyProtection="1">
      <alignment horizontal="left" vertical="center"/>
      <protection/>
    </xf>
    <xf numFmtId="168" fontId="34" fillId="0" borderId="10" xfId="42" applyNumberFormat="1" applyFont="1" applyFill="1" applyBorder="1" applyAlignment="1" applyProtection="1">
      <alignment horizontal="right" vertical="center"/>
      <protection/>
    </xf>
    <xf numFmtId="0" fontId="22" fillId="0" borderId="13" xfId="59" applyNumberFormat="1" applyFont="1" applyFill="1" applyBorder="1" applyAlignment="1" applyProtection="1">
      <alignment vertical="center" wrapText="1"/>
      <protection/>
    </xf>
    <xf numFmtId="0" fontId="22" fillId="0" borderId="0" xfId="59" applyNumberFormat="1" applyFont="1" applyFill="1" applyBorder="1" applyAlignment="1" applyProtection="1">
      <alignment vertical="center" wrapText="1"/>
      <protection/>
    </xf>
    <xf numFmtId="168" fontId="34" fillId="0" borderId="13" xfId="42" applyNumberFormat="1" applyFont="1" applyFill="1" applyBorder="1" applyAlignment="1" applyProtection="1">
      <alignment horizontal="right" vertical="center"/>
      <protection/>
    </xf>
    <xf numFmtId="168" fontId="34" fillId="7" borderId="13" xfId="42" applyNumberFormat="1" applyFont="1" applyFill="1" applyBorder="1" applyAlignment="1" applyProtection="1">
      <alignment horizontal="left" vertical="center"/>
      <protection/>
    </xf>
    <xf numFmtId="168" fontId="34" fillId="0" borderId="0" xfId="42" applyNumberFormat="1" applyFont="1" applyFill="1" applyBorder="1" applyAlignment="1" applyProtection="1">
      <alignment vertical="center"/>
      <protection/>
    </xf>
    <xf numFmtId="0" fontId="45" fillId="0" borderId="0" xfId="0" applyFont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168" fontId="40" fillId="0" borderId="0" xfId="42" applyNumberFormat="1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168" fontId="40" fillId="0" borderId="0" xfId="42" applyNumberFormat="1" applyFont="1" applyFill="1" applyBorder="1" applyAlignment="1" applyProtection="1">
      <alignment vertical="center"/>
      <protection/>
    </xf>
    <xf numFmtId="0" fontId="33" fillId="21" borderId="0" xfId="59" applyNumberFormat="1" applyFont="1" applyFill="1" applyBorder="1" applyAlignment="1" applyProtection="1">
      <alignment vertical="center"/>
      <protection/>
    </xf>
    <xf numFmtId="0" fontId="22" fillId="21" borderId="0" xfId="59" applyNumberFormat="1" applyFont="1" applyFill="1" applyBorder="1" applyAlignment="1" applyProtection="1">
      <alignment vertical="center"/>
      <protection/>
    </xf>
    <xf numFmtId="0" fontId="45" fillId="0" borderId="10" xfId="0" applyFont="1" applyBorder="1" applyAlignment="1">
      <alignment vertical="top" wrapText="1"/>
    </xf>
    <xf numFmtId="168" fontId="38" fillId="0" borderId="10" xfId="42" applyNumberFormat="1" applyFont="1" applyFill="1" applyBorder="1" applyAlignment="1" applyProtection="1">
      <alignment vertical="center"/>
      <protection/>
    </xf>
    <xf numFmtId="168" fontId="38" fillId="0" borderId="0" xfId="42" applyNumberFormat="1" applyFont="1" applyFill="1" applyBorder="1" applyAlignment="1" applyProtection="1">
      <alignment vertical="center"/>
      <protection/>
    </xf>
    <xf numFmtId="0" fontId="38" fillId="0" borderId="0" xfId="59" applyNumberFormat="1" applyFont="1" applyFill="1" applyBorder="1" applyAlignment="1" applyProtection="1">
      <alignment vertical="center"/>
      <protection/>
    </xf>
    <xf numFmtId="0" fontId="45" fillId="21" borderId="0" xfId="0" applyFont="1" applyFill="1" applyAlignment="1">
      <alignment/>
    </xf>
    <xf numFmtId="0" fontId="45" fillId="21" borderId="0" xfId="59" applyNumberFormat="1" applyFont="1" applyFill="1" applyBorder="1" applyAlignment="1" applyProtection="1">
      <alignment vertical="center"/>
      <protection/>
    </xf>
    <xf numFmtId="0" fontId="38" fillId="21" borderId="0" xfId="59" applyNumberFormat="1" applyFont="1" applyFill="1" applyBorder="1" applyAlignment="1" applyProtection="1">
      <alignment vertical="center"/>
      <protection/>
    </xf>
    <xf numFmtId="0" fontId="45" fillId="0" borderId="13" xfId="0" applyFont="1" applyBorder="1" applyAlignment="1">
      <alignment vertical="top" wrapText="1"/>
    </xf>
    <xf numFmtId="168" fontId="34" fillId="7" borderId="0" xfId="42" applyNumberFormat="1" applyFont="1" applyFill="1" applyBorder="1" applyAlignment="1" applyProtection="1">
      <alignment horizontal="left" vertical="center"/>
      <protection/>
    </xf>
    <xf numFmtId="168" fontId="34" fillId="7" borderId="0" xfId="42" applyNumberFormat="1" applyFont="1" applyFill="1" applyBorder="1" applyAlignment="1" applyProtection="1">
      <alignment horizontal="right" vertical="center"/>
      <protection/>
    </xf>
    <xf numFmtId="168" fontId="34" fillId="7" borderId="0" xfId="42" applyNumberFormat="1" applyFont="1" applyFill="1" applyBorder="1" applyAlignment="1" applyProtection="1">
      <alignment vertical="center"/>
      <protection/>
    </xf>
    <xf numFmtId="168" fontId="28" fillId="24" borderId="0" xfId="42" applyNumberFormat="1" applyFont="1" applyFill="1" applyBorder="1" applyAlignment="1" applyProtection="1">
      <alignment horizontal="right" vertical="center"/>
      <protection/>
    </xf>
    <xf numFmtId="0" fontId="51" fillId="24" borderId="0" xfId="57" applyFont="1" applyFill="1" applyBorder="1" applyAlignment="1">
      <alignment vertical="center"/>
      <protection/>
    </xf>
    <xf numFmtId="0" fontId="23" fillId="24" borderId="0" xfId="59" applyNumberFormat="1" applyFont="1" applyFill="1" applyBorder="1" applyAlignment="1" applyProtection="1">
      <alignment vertical="center"/>
      <protection/>
    </xf>
    <xf numFmtId="168" fontId="28" fillId="24" borderId="0" xfId="42" applyNumberFormat="1" applyFont="1" applyFill="1" applyBorder="1" applyAlignment="1" applyProtection="1">
      <alignment vertical="center"/>
      <protection/>
    </xf>
    <xf numFmtId="0" fontId="22" fillId="21" borderId="0" xfId="0" applyFont="1" applyFill="1" applyAlignment="1" applyProtection="1">
      <alignment/>
      <protection locked="0"/>
    </xf>
    <xf numFmtId="0" fontId="22" fillId="24" borderId="0" xfId="59" applyNumberFormat="1" applyFont="1" applyFill="1" applyBorder="1" applyAlignment="1" applyProtection="1">
      <alignment vertical="center"/>
      <protection/>
    </xf>
    <xf numFmtId="0" fontId="40" fillId="24" borderId="0" xfId="59" applyNumberFormat="1" applyFont="1" applyFill="1" applyBorder="1" applyAlignment="1" applyProtection="1">
      <alignment vertical="center"/>
      <protection/>
    </xf>
    <xf numFmtId="0" fontId="40" fillId="24" borderId="0" xfId="59" applyNumberFormat="1" applyFont="1" applyFill="1" applyBorder="1" applyAlignment="1" applyProtection="1">
      <alignment vertical="top"/>
      <protection/>
    </xf>
    <xf numFmtId="0" fontId="33" fillId="24" borderId="0" xfId="57" applyFont="1" applyFill="1" applyBorder="1" applyAlignment="1">
      <alignment vertical="center"/>
      <protection/>
    </xf>
    <xf numFmtId="0" fontId="34" fillId="24" borderId="0" xfId="59" applyNumberFormat="1" applyFont="1" applyFill="1" applyBorder="1" applyAlignment="1" applyProtection="1">
      <alignment vertical="top"/>
      <protection/>
    </xf>
    <xf numFmtId="0" fontId="34" fillId="21" borderId="0" xfId="59" applyNumberFormat="1" applyFont="1" applyFill="1" applyBorder="1" applyAlignment="1" applyProtection="1">
      <alignment vertical="top"/>
      <protection/>
    </xf>
    <xf numFmtId="0" fontId="33" fillId="24" borderId="0" xfId="58" applyFont="1" applyFill="1" applyAlignment="1">
      <alignment horizontal="right"/>
      <protection/>
    </xf>
    <xf numFmtId="0" fontId="33" fillId="24" borderId="0" xfId="58" applyFont="1" applyFill="1" applyAlignment="1">
      <alignment horizontal="left"/>
      <protection/>
    </xf>
    <xf numFmtId="0" fontId="33" fillId="21" borderId="0" xfId="0" applyFont="1" applyFill="1" applyBorder="1" applyAlignment="1">
      <alignment/>
    </xf>
    <xf numFmtId="0" fontId="52" fillId="21" borderId="0" xfId="0" applyFont="1" applyFill="1" applyBorder="1" applyAlignment="1">
      <alignment horizontal="right"/>
    </xf>
    <xf numFmtId="0" fontId="40" fillId="21" borderId="0" xfId="59" applyNumberFormat="1" applyFont="1" applyFill="1" applyBorder="1" applyAlignment="1" applyProtection="1">
      <alignment/>
      <protection/>
    </xf>
    <xf numFmtId="0" fontId="40" fillId="20" borderId="0" xfId="63" applyFont="1" applyFill="1" applyBorder="1" applyAlignment="1" applyProtection="1">
      <alignment horizontal="left" vertical="center" wrapText="1"/>
      <protection/>
    </xf>
    <xf numFmtId="49" fontId="40" fillId="20" borderId="0" xfId="63" applyNumberFormat="1" applyFont="1" applyFill="1" applyBorder="1" applyAlignment="1" applyProtection="1">
      <alignment horizontal="left" vertical="center" wrapText="1"/>
      <protection/>
    </xf>
    <xf numFmtId="0" fontId="34" fillId="20" borderId="0" xfId="63" applyFont="1" applyFill="1" applyBorder="1" applyAlignment="1" applyProtection="1">
      <alignment vertical="center" wrapText="1"/>
      <protection/>
    </xf>
    <xf numFmtId="0" fontId="27" fillId="20" borderId="0" xfId="63" applyFont="1" applyFill="1" applyBorder="1" applyAlignment="1" applyProtection="1">
      <alignment horizontal="left" vertical="center" wrapText="1"/>
      <protection/>
    </xf>
    <xf numFmtId="0" fontId="27" fillId="20" borderId="0" xfId="63" applyFont="1" applyFill="1" applyBorder="1" applyAlignment="1" applyProtection="1">
      <alignment horizontal="left" vertical="center" wrapText="1"/>
      <protection hidden="1"/>
    </xf>
    <xf numFmtId="0" fontId="27" fillId="20" borderId="0" xfId="63" applyFont="1" applyFill="1" applyBorder="1" applyProtection="1">
      <alignment/>
      <protection/>
    </xf>
    <xf numFmtId="0" fontId="27" fillId="20" borderId="0" xfId="63" applyFont="1" applyFill="1" applyBorder="1" applyAlignment="1" applyProtection="1">
      <alignment horizontal="center"/>
      <protection hidden="1"/>
    </xf>
    <xf numFmtId="0" fontId="38" fillId="24" borderId="13" xfId="0" applyFont="1" applyFill="1" applyBorder="1" applyAlignment="1">
      <alignment/>
    </xf>
    <xf numFmtId="0" fontId="27" fillId="24" borderId="13" xfId="63" applyFont="1" applyFill="1" applyBorder="1" applyAlignment="1" applyProtection="1">
      <alignment horizontal="left" vertical="center" wrapText="1"/>
      <protection/>
    </xf>
    <xf numFmtId="0" fontId="53" fillId="24" borderId="13" xfId="0" applyFont="1" applyFill="1" applyBorder="1" applyAlignment="1">
      <alignment/>
    </xf>
    <xf numFmtId="49" fontId="27" fillId="20" borderId="0" xfId="63" applyNumberFormat="1" applyFont="1" applyFill="1" applyBorder="1" applyAlignment="1" applyProtection="1">
      <alignment vertical="center"/>
      <protection hidden="1"/>
    </xf>
    <xf numFmtId="0" fontId="27" fillId="20" borderId="0" xfId="63" applyFont="1" applyFill="1" applyBorder="1" applyAlignment="1" applyProtection="1">
      <alignment horizontal="left" vertical="center" wrapText="1"/>
      <protection locked="0"/>
    </xf>
    <xf numFmtId="0" fontId="54" fillId="0" borderId="15" xfId="0" applyFont="1" applyBorder="1" applyAlignment="1">
      <alignment/>
    </xf>
    <xf numFmtId="0" fontId="55" fillId="0" borderId="16" xfId="0" applyFont="1" applyBorder="1" applyAlignment="1">
      <alignment horizontal="right"/>
    </xf>
    <xf numFmtId="0" fontId="54" fillId="24" borderId="15" xfId="63" applyFont="1" applyFill="1" applyBorder="1" applyAlignment="1" applyProtection="1">
      <alignment horizontal="right" vertical="center" wrapText="1"/>
      <protection locked="0"/>
    </xf>
    <xf numFmtId="0" fontId="54" fillId="24" borderId="17" xfId="63" applyFont="1" applyFill="1" applyBorder="1" applyAlignment="1" applyProtection="1">
      <alignment horizontal="right" vertical="center" wrapText="1"/>
      <protection locked="0"/>
    </xf>
    <xf numFmtId="168" fontId="54" fillId="0" borderId="17" xfId="0" applyNumberFormat="1" applyFont="1" applyBorder="1" applyAlignment="1">
      <alignment horizontal="right"/>
    </xf>
    <xf numFmtId="168" fontId="54" fillId="0" borderId="15" xfId="0" applyNumberFormat="1" applyFont="1" applyBorder="1" applyAlignment="1">
      <alignment horizontal="right"/>
    </xf>
    <xf numFmtId="168" fontId="54" fillId="0" borderId="18" xfId="0" applyNumberFormat="1" applyFont="1" applyBorder="1" applyAlignment="1">
      <alignment horizontal="right"/>
    </xf>
    <xf numFmtId="0" fontId="56" fillId="20" borderId="0" xfId="63" applyNumberFormat="1" applyFont="1" applyFill="1" applyBorder="1" applyAlignment="1" applyProtection="1">
      <alignment vertical="center"/>
      <protection locked="0"/>
    </xf>
    <xf numFmtId="0" fontId="54" fillId="0" borderId="16" xfId="0" applyFont="1" applyBorder="1" applyAlignment="1">
      <alignment/>
    </xf>
    <xf numFmtId="0" fontId="53" fillId="24" borderId="15" xfId="63" applyFont="1" applyFill="1" applyBorder="1" applyAlignment="1" applyProtection="1">
      <alignment horizontal="right" vertical="center" wrapText="1"/>
      <protection locked="0"/>
    </xf>
    <xf numFmtId="168" fontId="53" fillId="0" borderId="15" xfId="0" applyNumberFormat="1" applyFont="1" applyBorder="1" applyAlignment="1">
      <alignment/>
    </xf>
    <xf numFmtId="168" fontId="54" fillId="0" borderId="18" xfId="0" applyNumberFormat="1" applyFont="1" applyBorder="1" applyAlignment="1">
      <alignment/>
    </xf>
    <xf numFmtId="0" fontId="27" fillId="20" borderId="0" xfId="63" applyFont="1" applyFill="1" applyBorder="1" applyProtection="1">
      <alignment/>
      <protection locked="0"/>
    </xf>
    <xf numFmtId="0" fontId="54" fillId="24" borderId="15" xfId="63" applyFont="1" applyFill="1" applyBorder="1" applyAlignment="1" applyProtection="1">
      <alignment horizontal="left" vertical="center" wrapText="1"/>
      <protection locked="0"/>
    </xf>
    <xf numFmtId="168" fontId="54" fillId="0" borderId="19" xfId="0" applyNumberFormat="1" applyFont="1" applyBorder="1" applyAlignment="1">
      <alignment/>
    </xf>
    <xf numFmtId="0" fontId="34" fillId="20" borderId="0" xfId="63" applyFont="1" applyFill="1" applyBorder="1" applyAlignment="1" applyProtection="1">
      <alignment horizontal="left" vertical="center" wrapText="1"/>
      <protection/>
    </xf>
    <xf numFmtId="0" fontId="57" fillId="0" borderId="18" xfId="0" applyFont="1" applyBorder="1" applyAlignment="1">
      <alignment/>
    </xf>
    <xf numFmtId="0" fontId="53" fillId="0" borderId="20" xfId="0" applyFont="1" applyBorder="1" applyAlignment="1">
      <alignment horizontal="right"/>
    </xf>
    <xf numFmtId="0" fontId="22" fillId="24" borderId="18" xfId="0" applyFont="1" applyFill="1" applyBorder="1" applyAlignment="1">
      <alignment/>
    </xf>
    <xf numFmtId="0" fontId="53" fillId="24" borderId="19" xfId="63" applyFont="1" applyFill="1" applyBorder="1" applyAlignment="1" applyProtection="1">
      <alignment horizontal="right" vertical="center" wrapText="1"/>
      <protection/>
    </xf>
    <xf numFmtId="168" fontId="53" fillId="0" borderId="19" xfId="0" applyNumberFormat="1" applyFont="1" applyBorder="1" applyAlignment="1">
      <alignment horizontal="right"/>
    </xf>
    <xf numFmtId="168" fontId="53" fillId="0" borderId="18" xfId="0" applyNumberFormat="1" applyFont="1" applyBorder="1" applyAlignment="1">
      <alignment horizontal="right"/>
    </xf>
    <xf numFmtId="0" fontId="34" fillId="20" borderId="0" xfId="63" applyFont="1" applyFill="1" applyBorder="1" applyAlignment="1" applyProtection="1">
      <alignment horizontal="center" vertical="center" wrapText="1"/>
      <protection hidden="1"/>
    </xf>
    <xf numFmtId="0" fontId="22" fillId="0" borderId="20" xfId="0" applyFont="1" applyBorder="1" applyAlignment="1">
      <alignment/>
    </xf>
    <xf numFmtId="0" fontId="34" fillId="20" borderId="0" xfId="63" applyFont="1" applyFill="1" applyBorder="1" applyProtection="1">
      <alignment/>
      <protection/>
    </xf>
    <xf numFmtId="0" fontId="53" fillId="0" borderId="20" xfId="0" applyFont="1" applyBorder="1" applyAlignment="1">
      <alignment/>
    </xf>
    <xf numFmtId="0" fontId="53" fillId="24" borderId="18" xfId="63" applyFont="1" applyFill="1" applyBorder="1" applyAlignment="1" applyProtection="1">
      <alignment horizontal="right" vertical="center" wrapText="1"/>
      <protection/>
    </xf>
    <xf numFmtId="168" fontId="22" fillId="0" borderId="18" xfId="0" applyNumberFormat="1" applyFont="1" applyBorder="1" applyAlignment="1">
      <alignment/>
    </xf>
    <xf numFmtId="168" fontId="53" fillId="0" borderId="19" xfId="0" applyNumberFormat="1" applyFont="1" applyBorder="1" applyAlignment="1">
      <alignment/>
    </xf>
    <xf numFmtId="168" fontId="53" fillId="0" borderId="18" xfId="0" applyNumberFormat="1" applyFont="1" applyBorder="1" applyAlignment="1">
      <alignment/>
    </xf>
    <xf numFmtId="0" fontId="34" fillId="20" borderId="0" xfId="63" applyFont="1" applyFill="1" applyBorder="1" applyAlignment="1" applyProtection="1">
      <alignment vertical="center" textRotation="90" wrapText="1"/>
      <protection hidden="1"/>
    </xf>
    <xf numFmtId="0" fontId="57" fillId="0" borderId="20" xfId="0" applyFont="1" applyBorder="1" applyAlignment="1">
      <alignment/>
    </xf>
    <xf numFmtId="0" fontId="34" fillId="24" borderId="18" xfId="63" applyFont="1" applyFill="1" applyBorder="1" applyAlignment="1" applyProtection="1">
      <alignment horizontal="left" vertical="center" wrapText="1"/>
      <protection/>
    </xf>
    <xf numFmtId="166" fontId="22" fillId="0" borderId="18" xfId="55" applyNumberFormat="1" applyFont="1" applyBorder="1">
      <alignment/>
      <protection/>
    </xf>
    <xf numFmtId="0" fontId="53" fillId="0" borderId="18" xfId="0" applyFont="1" applyBorder="1" applyAlignment="1">
      <alignment horizontal="right"/>
    </xf>
    <xf numFmtId="0" fontId="54" fillId="24" borderId="18" xfId="63" applyFont="1" applyFill="1" applyBorder="1" applyAlignment="1" applyProtection="1">
      <alignment horizontal="right" vertical="center" wrapText="1"/>
      <protection/>
    </xf>
    <xf numFmtId="0" fontId="54" fillId="24" borderId="19" xfId="63" applyFont="1" applyFill="1" applyBorder="1" applyAlignment="1" applyProtection="1">
      <alignment horizontal="right" vertical="center" wrapText="1"/>
      <protection/>
    </xf>
    <xf numFmtId="168" fontId="22" fillId="0" borderId="19" xfId="0" applyNumberFormat="1" applyFont="1" applyBorder="1" applyAlignment="1">
      <alignment/>
    </xf>
    <xf numFmtId="0" fontId="54" fillId="0" borderId="18" xfId="0" applyFont="1" applyBorder="1" applyAlignment="1">
      <alignment/>
    </xf>
    <xf numFmtId="168" fontId="54" fillId="0" borderId="19" xfId="0" applyNumberFormat="1" applyFont="1" applyBorder="1" applyAlignment="1">
      <alignment horizontal="right"/>
    </xf>
    <xf numFmtId="0" fontId="53" fillId="24" borderId="18" xfId="0" applyFont="1" applyFill="1" applyBorder="1" applyAlignment="1">
      <alignment horizontal="right"/>
    </xf>
    <xf numFmtId="0" fontId="53" fillId="24" borderId="19" xfId="0" applyFont="1" applyFill="1" applyBorder="1" applyAlignment="1">
      <alignment horizontal="right"/>
    </xf>
    <xf numFmtId="2" fontId="34" fillId="20" borderId="0" xfId="63" applyNumberFormat="1" applyFont="1" applyFill="1" applyBorder="1" applyAlignment="1" applyProtection="1">
      <alignment horizontal="right" vertical="center" wrapText="1"/>
      <protection hidden="1"/>
    </xf>
    <xf numFmtId="168" fontId="57" fillId="0" borderId="20" xfId="0" applyNumberFormat="1" applyFont="1" applyBorder="1" applyAlignment="1">
      <alignment/>
    </xf>
    <xf numFmtId="0" fontId="53" fillId="0" borderId="21" xfId="0" applyFont="1" applyBorder="1" applyAlignment="1">
      <alignment horizontal="right"/>
    </xf>
    <xf numFmtId="0" fontId="57" fillId="0" borderId="21" xfId="0" applyFont="1" applyBorder="1" applyAlignment="1">
      <alignment/>
    </xf>
    <xf numFmtId="0" fontId="22" fillId="24" borderId="21" xfId="0" applyFont="1" applyFill="1" applyBorder="1" applyAlignment="1">
      <alignment/>
    </xf>
    <xf numFmtId="168" fontId="22" fillId="0" borderId="21" xfId="0" applyNumberFormat="1" applyFont="1" applyBorder="1" applyAlignment="1">
      <alignment/>
    </xf>
    <xf numFmtId="0" fontId="54" fillId="22" borderId="22" xfId="0" applyFont="1" applyFill="1" applyBorder="1" applyAlignment="1">
      <alignment/>
    </xf>
    <xf numFmtId="168" fontId="54" fillId="22" borderId="21" xfId="0" applyNumberFormat="1" applyFont="1" applyFill="1" applyBorder="1" applyAlignment="1">
      <alignment/>
    </xf>
    <xf numFmtId="168" fontId="54" fillId="22" borderId="18" xfId="0" applyNumberFormat="1" applyFont="1" applyFill="1" applyBorder="1" applyAlignment="1">
      <alignment/>
    </xf>
    <xf numFmtId="168" fontId="40" fillId="20" borderId="0" xfId="63" applyNumberFormat="1" applyFont="1" applyFill="1" applyBorder="1" applyAlignment="1" applyProtection="1">
      <alignment wrapText="1"/>
      <protection hidden="1"/>
    </xf>
    <xf numFmtId="0" fontId="40" fillId="20" borderId="0" xfId="63" applyFont="1" applyFill="1" applyBorder="1" applyProtection="1">
      <alignment/>
      <protection/>
    </xf>
    <xf numFmtId="0" fontId="22" fillId="24" borderId="13" xfId="0" applyFont="1" applyFill="1" applyBorder="1" applyAlignment="1">
      <alignment/>
    </xf>
    <xf numFmtId="168" fontId="22" fillId="24" borderId="15" xfId="0" applyNumberFormat="1" applyFont="1" applyFill="1" applyBorder="1" applyAlignment="1">
      <alignment/>
    </xf>
    <xf numFmtId="168" fontId="22" fillId="24" borderId="17" xfId="0" applyNumberFormat="1" applyFont="1" applyFill="1" applyBorder="1" applyAlignment="1">
      <alignment/>
    </xf>
    <xf numFmtId="168" fontId="53" fillId="0" borderId="17" xfId="0" applyNumberFormat="1" applyFont="1" applyBorder="1" applyAlignment="1">
      <alignment/>
    </xf>
    <xf numFmtId="168" fontId="54" fillId="0" borderId="16" xfId="0" applyNumberFormat="1" applyFont="1" applyBorder="1" applyAlignment="1">
      <alignment/>
    </xf>
    <xf numFmtId="168" fontId="33" fillId="24" borderId="15" xfId="0" applyNumberFormat="1" applyFont="1" applyFill="1" applyBorder="1" applyAlignment="1">
      <alignment/>
    </xf>
    <xf numFmtId="168" fontId="54" fillId="0" borderId="15" xfId="0" applyNumberFormat="1" applyFont="1" applyBorder="1" applyAlignment="1">
      <alignment/>
    </xf>
    <xf numFmtId="0" fontId="22" fillId="24" borderId="15" xfId="0" applyFont="1" applyFill="1" applyBorder="1" applyAlignment="1">
      <alignment/>
    </xf>
    <xf numFmtId="168" fontId="22" fillId="24" borderId="18" xfId="0" applyNumberFormat="1" applyFont="1" applyFill="1" applyBorder="1" applyAlignment="1">
      <alignment/>
    </xf>
    <xf numFmtId="168" fontId="22" fillId="24" borderId="19" xfId="0" applyNumberFormat="1" applyFont="1" applyFill="1" applyBorder="1" applyAlignment="1">
      <alignment/>
    </xf>
    <xf numFmtId="0" fontId="22" fillId="24" borderId="19" xfId="0" applyFont="1" applyFill="1" applyBorder="1" applyAlignment="1">
      <alignment/>
    </xf>
    <xf numFmtId="168" fontId="33" fillId="7" borderId="19" xfId="0" applyNumberFormat="1" applyFont="1" applyFill="1" applyBorder="1" applyAlignment="1">
      <alignment/>
    </xf>
    <xf numFmtId="0" fontId="41" fillId="20" borderId="0" xfId="63" applyFont="1" applyFill="1" applyBorder="1" applyAlignment="1" applyProtection="1">
      <alignment wrapText="1"/>
      <protection hidden="1"/>
    </xf>
    <xf numFmtId="0" fontId="22" fillId="20" borderId="0" xfId="63" applyFont="1" applyFill="1" applyBorder="1" applyAlignment="1" applyProtection="1">
      <alignment horizontal="left" vertical="center" wrapText="1"/>
      <protection/>
    </xf>
    <xf numFmtId="0" fontId="34" fillId="20" borderId="0" xfId="63" applyFont="1" applyFill="1" applyBorder="1" applyAlignment="1" applyProtection="1">
      <alignment horizontal="left" vertical="center" wrapText="1"/>
      <protection hidden="1"/>
    </xf>
    <xf numFmtId="0" fontId="54" fillId="7" borderId="22" xfId="0" applyFont="1" applyFill="1" applyBorder="1" applyAlignment="1">
      <alignment/>
    </xf>
    <xf numFmtId="168" fontId="54" fillId="7" borderId="21" xfId="0" applyNumberFormat="1" applyFont="1" applyFill="1" applyBorder="1" applyAlignment="1">
      <alignment/>
    </xf>
    <xf numFmtId="0" fontId="58" fillId="24" borderId="13" xfId="0" applyFont="1" applyFill="1" applyBorder="1" applyAlignment="1">
      <alignment/>
    </xf>
    <xf numFmtId="0" fontId="54" fillId="24" borderId="13" xfId="0" applyFont="1" applyFill="1" applyBorder="1" applyAlignment="1">
      <alignment/>
    </xf>
    <xf numFmtId="168" fontId="34" fillId="20" borderId="0" xfId="63" applyNumberFormat="1" applyFont="1" applyFill="1" applyBorder="1" applyAlignment="1" applyProtection="1">
      <alignment wrapText="1"/>
      <protection hidden="1"/>
    </xf>
    <xf numFmtId="0" fontId="54" fillId="0" borderId="15" xfId="0" applyNumberFormat="1" applyFont="1" applyBorder="1" applyAlignment="1">
      <alignment horizontal="left" vertical="top" wrapText="1"/>
    </xf>
    <xf numFmtId="0" fontId="54" fillId="7" borderId="18" xfId="0" applyNumberFormat="1" applyFont="1" applyFill="1" applyBorder="1" applyAlignment="1">
      <alignment horizontal="left" vertical="top" wrapText="1"/>
    </xf>
    <xf numFmtId="168" fontId="54" fillId="7" borderId="18" xfId="0" applyNumberFormat="1" applyFont="1" applyFill="1" applyBorder="1" applyAlignment="1">
      <alignment/>
    </xf>
    <xf numFmtId="49" fontId="40" fillId="20" borderId="0" xfId="63" applyNumberFormat="1" applyFont="1" applyFill="1" applyBorder="1" applyAlignment="1" applyProtection="1">
      <alignment horizontal="left" vertical="center" wrapText="1"/>
      <protection hidden="1"/>
    </xf>
    <xf numFmtId="0" fontId="40" fillId="20" borderId="0" xfId="63" applyFont="1" applyFill="1" applyBorder="1" applyAlignment="1" applyProtection="1">
      <alignment horizontal="left" vertical="center" wrapText="1"/>
      <protection hidden="1"/>
    </xf>
    <xf numFmtId="168" fontId="23" fillId="20" borderId="0" xfId="63" applyNumberFormat="1" applyFont="1" applyFill="1" applyBorder="1" applyAlignment="1" applyProtection="1">
      <alignment wrapText="1"/>
      <protection locked="0"/>
    </xf>
    <xf numFmtId="49" fontId="40" fillId="20" borderId="0" xfId="63" applyNumberFormat="1" applyFont="1" applyFill="1" applyBorder="1" applyAlignment="1" applyProtection="1">
      <alignment horizontal="center" vertical="center"/>
      <protection hidden="1"/>
    </xf>
    <xf numFmtId="168" fontId="41" fillId="0" borderId="0" xfId="63" applyNumberFormat="1" applyFont="1" applyFill="1" applyBorder="1" applyAlignment="1" applyProtection="1">
      <alignment wrapText="1"/>
      <protection locked="0"/>
    </xf>
    <xf numFmtId="168" fontId="28" fillId="0" borderId="0" xfId="63" applyNumberFormat="1" applyFont="1" applyFill="1" applyBorder="1" applyAlignment="1" applyProtection="1">
      <alignment wrapText="1"/>
      <protection locked="0"/>
    </xf>
    <xf numFmtId="0" fontId="42" fillId="0" borderId="0" xfId="63" applyFont="1" applyFill="1" applyBorder="1" applyAlignment="1" applyProtection="1">
      <alignment horizontal="left" vertical="center" wrapText="1"/>
      <protection/>
    </xf>
    <xf numFmtId="49" fontId="41" fillId="0" borderId="0" xfId="63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>
      <alignment/>
    </xf>
    <xf numFmtId="0" fontId="41" fillId="0" borderId="0" xfId="63" applyFont="1" applyFill="1" applyBorder="1" applyAlignment="1" applyProtection="1">
      <alignment horizontal="left" vertical="center" wrapText="1"/>
      <protection hidden="1"/>
    </xf>
    <xf numFmtId="168" fontId="41" fillId="0" borderId="0" xfId="63" applyNumberFormat="1" applyFont="1" applyFill="1" applyBorder="1" applyAlignment="1" applyProtection="1">
      <alignment/>
      <protection hidden="1"/>
    </xf>
    <xf numFmtId="168" fontId="40" fillId="20" borderId="0" xfId="63" applyNumberFormat="1" applyFont="1" applyFill="1" applyBorder="1" applyAlignment="1" applyProtection="1">
      <alignment/>
      <protection hidden="1"/>
    </xf>
    <xf numFmtId="168" fontId="23" fillId="20" borderId="0" xfId="63" applyNumberFormat="1" applyFont="1" applyFill="1" applyBorder="1" applyAlignment="1" applyProtection="1">
      <alignment/>
      <protection locked="0"/>
    </xf>
    <xf numFmtId="168" fontId="23" fillId="0" borderId="0" xfId="63" applyNumberFormat="1" applyFont="1" applyFill="1" applyBorder="1" applyAlignment="1" applyProtection="1">
      <alignment wrapText="1"/>
      <protection locked="0"/>
    </xf>
    <xf numFmtId="0" fontId="40" fillId="0" borderId="0" xfId="63" applyFont="1" applyFill="1" applyBorder="1" applyAlignment="1" applyProtection="1">
      <alignment horizontal="left" vertical="center" wrapText="1"/>
      <protection/>
    </xf>
    <xf numFmtId="49" fontId="40" fillId="20" borderId="0" xfId="63" applyNumberFormat="1" applyFont="1" applyFill="1" applyBorder="1" applyAlignment="1" applyProtection="1">
      <alignment horizontal="center" vertical="center" wrapText="1"/>
      <protection hidden="1"/>
    </xf>
    <xf numFmtId="0" fontId="49" fillId="20" borderId="0" xfId="63" applyFont="1" applyFill="1" applyBorder="1" applyAlignment="1" applyProtection="1">
      <alignment horizontal="left" vertical="center" wrapText="1"/>
      <protection/>
    </xf>
    <xf numFmtId="168" fontId="40" fillId="20" borderId="0" xfId="63" applyNumberFormat="1" applyFont="1" applyFill="1" applyBorder="1" applyAlignment="1" applyProtection="1">
      <alignment/>
      <protection locked="0"/>
    </xf>
    <xf numFmtId="0" fontId="49" fillId="20" borderId="0" xfId="63" applyFont="1" applyFill="1" applyBorder="1" applyProtection="1">
      <alignment/>
      <protection/>
    </xf>
    <xf numFmtId="168" fontId="49" fillId="20" borderId="0" xfId="63" applyNumberFormat="1" applyFont="1" applyFill="1" applyBorder="1" applyAlignment="1" applyProtection="1">
      <alignment/>
      <protection locked="0"/>
    </xf>
    <xf numFmtId="168" fontId="49" fillId="20" borderId="0" xfId="63" applyNumberFormat="1" applyFont="1" applyFill="1" applyBorder="1" applyAlignment="1" applyProtection="1">
      <alignment wrapText="1"/>
      <protection locked="0"/>
    </xf>
    <xf numFmtId="49" fontId="34" fillId="20" borderId="0" xfId="63" applyNumberFormat="1" applyFont="1" applyFill="1" applyBorder="1" applyAlignment="1" applyProtection="1">
      <alignment horizontal="center" vertical="center"/>
      <protection hidden="1"/>
    </xf>
    <xf numFmtId="0" fontId="40" fillId="20" borderId="0" xfId="63" applyFont="1" applyFill="1" applyBorder="1" applyProtection="1">
      <alignment/>
      <protection hidden="1"/>
    </xf>
    <xf numFmtId="168" fontId="34" fillId="20" borderId="0" xfId="63" applyNumberFormat="1" applyFont="1" applyFill="1" applyBorder="1" applyAlignment="1" applyProtection="1">
      <alignment/>
      <protection hidden="1"/>
    </xf>
    <xf numFmtId="0" fontId="34" fillId="20" borderId="0" xfId="63" applyFont="1" applyFill="1" applyBorder="1" applyProtection="1">
      <alignment/>
      <protection hidden="1"/>
    </xf>
    <xf numFmtId="0" fontId="34" fillId="20" borderId="0" xfId="63" applyFont="1" applyFill="1" applyBorder="1" applyAlignment="1" applyProtection="1">
      <alignment vertical="center" wrapText="1"/>
      <protection hidden="1"/>
    </xf>
    <xf numFmtId="0" fontId="34" fillId="20" borderId="0" xfId="63" applyFont="1" applyFill="1" applyBorder="1" applyAlignment="1" applyProtection="1">
      <alignment horizontal="left" vertical="center"/>
      <protection hidden="1"/>
    </xf>
    <xf numFmtId="0" fontId="34" fillId="20" borderId="0" xfId="63" applyFont="1" applyFill="1" applyBorder="1" applyAlignment="1" applyProtection="1">
      <alignment vertical="center"/>
      <protection hidden="1"/>
    </xf>
    <xf numFmtId="0" fontId="40" fillId="20" borderId="0" xfId="63" applyFont="1" applyFill="1" applyBorder="1" applyAlignment="1" applyProtection="1">
      <alignment vertical="center" wrapText="1"/>
      <protection hidden="1"/>
    </xf>
    <xf numFmtId="49" fontId="40" fillId="20" borderId="0" xfId="63" applyNumberFormat="1" applyFont="1" applyFill="1" applyBorder="1" applyProtection="1">
      <alignment/>
      <protection hidden="1"/>
    </xf>
    <xf numFmtId="0" fontId="40" fillId="20" borderId="0" xfId="63" applyFont="1" applyFill="1" applyBorder="1" applyAlignment="1" applyProtection="1">
      <alignment horizontal="left" vertical="center"/>
      <protection/>
    </xf>
    <xf numFmtId="49" fontId="40" fillId="20" borderId="0" xfId="63" applyNumberFormat="1" applyFont="1" applyFill="1" applyBorder="1" applyAlignment="1" applyProtection="1">
      <alignment/>
      <protection hidden="1"/>
    </xf>
    <xf numFmtId="0" fontId="40" fillId="20" borderId="0" xfId="63" applyFont="1" applyFill="1" applyBorder="1" applyAlignment="1" applyProtection="1">
      <alignment vertical="center"/>
      <protection hidden="1"/>
    </xf>
    <xf numFmtId="0" fontId="40" fillId="20" borderId="0" xfId="63" applyFont="1" applyFill="1" applyBorder="1" applyAlignment="1" applyProtection="1">
      <alignment/>
      <protection/>
    </xf>
    <xf numFmtId="0" fontId="34" fillId="20" borderId="0" xfId="63" applyNumberFormat="1" applyFont="1" applyFill="1" applyBorder="1" applyAlignment="1" applyProtection="1">
      <alignment/>
      <protection hidden="1"/>
    </xf>
    <xf numFmtId="49" fontId="40" fillId="20" borderId="0" xfId="63" applyNumberFormat="1" applyFont="1" applyFill="1" applyBorder="1" applyProtection="1">
      <alignment/>
      <protection/>
    </xf>
    <xf numFmtId="0" fontId="40" fillId="20" borderId="0" xfId="63" applyFont="1" applyFill="1" applyBorder="1" applyAlignment="1" applyProtection="1">
      <alignment vertical="center" wrapText="1"/>
      <protection/>
    </xf>
    <xf numFmtId="0" fontId="40" fillId="20" borderId="0" xfId="63" applyFont="1" applyFill="1" applyBorder="1" applyAlignment="1" applyProtection="1">
      <alignment horizontal="right" vertical="center"/>
      <protection/>
    </xf>
    <xf numFmtId="0" fontId="40" fillId="20" borderId="0" xfId="56" applyFont="1" applyFill="1" applyBorder="1" applyProtection="1">
      <alignment/>
      <protection/>
    </xf>
    <xf numFmtId="168" fontId="2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8" fontId="59" fillId="0" borderId="0" xfId="0" applyNumberFormat="1" applyFont="1" applyFill="1" applyAlignment="1">
      <alignment/>
    </xf>
    <xf numFmtId="0" fontId="33" fillId="7" borderId="18" xfId="0" applyFont="1" applyFill="1" applyBorder="1" applyAlignment="1">
      <alignment horizontal="center"/>
    </xf>
    <xf numFmtId="0" fontId="33" fillId="0" borderId="18" xfId="0" applyFont="1" applyBorder="1" applyAlignment="1">
      <alignment horizontal="center" vertical="center"/>
    </xf>
    <xf numFmtId="174" fontId="33" fillId="0" borderId="18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22" fillId="20" borderId="14" xfId="0" applyFont="1" applyFill="1" applyBorder="1" applyAlignment="1">
      <alignment/>
    </xf>
    <xf numFmtId="0" fontId="22" fillId="20" borderId="0" xfId="0" applyFont="1" applyFill="1" applyBorder="1" applyAlignment="1">
      <alignment/>
    </xf>
    <xf numFmtId="0" fontId="33" fillId="24" borderId="18" xfId="0" applyFont="1" applyFill="1" applyBorder="1" applyAlignment="1">
      <alignment/>
    </xf>
    <xf numFmtId="9" fontId="22" fillId="24" borderId="18" xfId="67" applyFont="1" applyFill="1" applyBorder="1" applyAlignment="1" applyProtection="1">
      <alignment/>
      <protection/>
    </xf>
    <xf numFmtId="0" fontId="22" fillId="24" borderId="20" xfId="0" applyFont="1" applyFill="1" applyBorder="1" applyAlignment="1">
      <alignment horizontal="left" wrapText="1"/>
    </xf>
    <xf numFmtId="0" fontId="22" fillId="24" borderId="13" xfId="0" applyFont="1" applyFill="1" applyBorder="1" applyAlignment="1">
      <alignment horizontal="left" wrapText="1"/>
    </xf>
    <xf numFmtId="0" fontId="22" fillId="24" borderId="19" xfId="0" applyFont="1" applyFill="1" applyBorder="1" applyAlignment="1">
      <alignment horizontal="left" wrapText="1"/>
    </xf>
    <xf numFmtId="0" fontId="34" fillId="20" borderId="0" xfId="55" applyFont="1" applyFill="1" applyBorder="1" applyAlignment="1">
      <alignment/>
      <protection/>
    </xf>
    <xf numFmtId="0" fontId="22" fillId="20" borderId="0" xfId="55" applyFont="1" applyFill="1">
      <alignment/>
      <protection/>
    </xf>
    <xf numFmtId="2" fontId="22" fillId="20" borderId="0" xfId="55" applyNumberFormat="1" applyFont="1" applyFill="1">
      <alignment/>
      <protection/>
    </xf>
    <xf numFmtId="0" fontId="54" fillId="0" borderId="18" xfId="55" applyFont="1" applyBorder="1" applyAlignment="1">
      <alignment horizontal="center" wrapText="1"/>
      <protection/>
    </xf>
    <xf numFmtId="0" fontId="53" fillId="0" borderId="18" xfId="55" applyFont="1" applyBorder="1">
      <alignment/>
      <protection/>
    </xf>
    <xf numFmtId="171" fontId="53" fillId="0" borderId="18" xfId="55" applyNumberFormat="1" applyFont="1" applyBorder="1">
      <alignment/>
      <protection/>
    </xf>
    <xf numFmtId="166" fontId="53" fillId="0" borderId="18" xfId="55" applyNumberFormat="1" applyFont="1" applyBorder="1" applyAlignment="1">
      <alignment vertical="center"/>
      <protection/>
    </xf>
    <xf numFmtId="0" fontId="53" fillId="0" borderId="18" xfId="55" applyFont="1" applyBorder="1" applyAlignment="1">
      <alignment wrapText="1"/>
      <protection/>
    </xf>
    <xf numFmtId="0" fontId="33" fillId="0" borderId="18" xfId="55" applyFont="1" applyFill="1" applyBorder="1">
      <alignment/>
      <protection/>
    </xf>
    <xf numFmtId="166" fontId="53" fillId="0" borderId="18" xfId="55" applyNumberFormat="1" applyFont="1" applyFill="1" applyBorder="1">
      <alignment/>
      <protection/>
    </xf>
    <xf numFmtId="166" fontId="53" fillId="0" borderId="18" xfId="55" applyNumberFormat="1" applyFont="1" applyFill="1" applyBorder="1" applyAlignment="1">
      <alignment/>
      <protection/>
    </xf>
    <xf numFmtId="166" fontId="53" fillId="0" borderId="18" xfId="55" applyNumberFormat="1" applyFont="1" applyBorder="1">
      <alignment/>
      <protection/>
    </xf>
    <xf numFmtId="0" fontId="53" fillId="0" borderId="18" xfId="55" applyFont="1" applyBorder="1" applyAlignment="1">
      <alignment vertical="center" wrapText="1"/>
      <protection/>
    </xf>
    <xf numFmtId="0" fontId="53" fillId="0" borderId="18" xfId="55" applyFont="1" applyFill="1" applyBorder="1" applyAlignment="1">
      <alignment vertical="center" wrapText="1"/>
      <protection/>
    </xf>
    <xf numFmtId="166" fontId="53" fillId="0" borderId="18" xfId="55" applyNumberFormat="1" applyFont="1" applyFill="1" applyBorder="1" applyAlignment="1">
      <alignment vertical="center"/>
      <protection/>
    </xf>
    <xf numFmtId="0" fontId="33" fillId="0" borderId="18" xfId="55" applyFont="1" applyFill="1" applyBorder="1" applyAlignment="1">
      <alignment vertical="center" wrapText="1"/>
      <protection/>
    </xf>
    <xf numFmtId="166" fontId="22" fillId="0" borderId="18" xfId="55" applyNumberFormat="1" applyFont="1" applyFill="1" applyBorder="1" applyAlignment="1">
      <alignment vertical="center"/>
      <protection/>
    </xf>
    <xf numFmtId="0" fontId="33" fillId="7" borderId="18" xfId="55" applyFont="1" applyFill="1" applyBorder="1" applyAlignment="1">
      <alignment wrapText="1"/>
      <protection/>
    </xf>
    <xf numFmtId="166" fontId="33" fillId="7" borderId="18" xfId="55" applyNumberFormat="1" applyFont="1" applyFill="1" applyBorder="1">
      <alignment/>
      <protection/>
    </xf>
    <xf numFmtId="166" fontId="22" fillId="20" borderId="0" xfId="55" applyNumberFormat="1" applyFont="1" applyFill="1">
      <alignment/>
      <protection/>
    </xf>
    <xf numFmtId="174" fontId="33" fillId="0" borderId="18" xfId="55" applyNumberFormat="1" applyFont="1" applyBorder="1" applyAlignment="1">
      <alignment horizontal="center"/>
      <protection/>
    </xf>
    <xf numFmtId="164" fontId="33" fillId="0" borderId="18" xfId="55" applyNumberFormat="1" applyFont="1" applyBorder="1" applyAlignment="1">
      <alignment horizontal="center"/>
      <protection/>
    </xf>
    <xf numFmtId="166" fontId="33" fillId="0" borderId="18" xfId="55" applyNumberFormat="1" applyFont="1" applyBorder="1">
      <alignment/>
      <protection/>
    </xf>
    <xf numFmtId="166" fontId="33" fillId="0" borderId="18" xfId="55" applyNumberFormat="1" applyFont="1" applyFill="1" applyBorder="1">
      <alignment/>
      <protection/>
    </xf>
    <xf numFmtId="166" fontId="22" fillId="0" borderId="18" xfId="55" applyNumberFormat="1" applyFont="1" applyFill="1" applyBorder="1">
      <alignment/>
      <protection/>
    </xf>
    <xf numFmtId="164" fontId="33" fillId="0" borderId="18" xfId="0" applyNumberFormat="1" applyFont="1" applyBorder="1" applyAlignment="1">
      <alignment horizontal="center"/>
    </xf>
    <xf numFmtId="166" fontId="33" fillId="0" borderId="18" xfId="0" applyNumberFormat="1" applyFont="1" applyBorder="1" applyAlignment="1">
      <alignment/>
    </xf>
    <xf numFmtId="166" fontId="22" fillId="0" borderId="18" xfId="0" applyNumberFormat="1" applyFont="1" applyBorder="1" applyAlignment="1">
      <alignment/>
    </xf>
    <xf numFmtId="0" fontId="22" fillId="0" borderId="20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166" fontId="33" fillId="7" borderId="18" xfId="0" applyNumberFormat="1" applyFont="1" applyFill="1" applyBorder="1" applyAlignment="1">
      <alignment/>
    </xf>
    <xf numFmtId="0" fontId="33" fillId="20" borderId="0" xfId="0" applyFont="1" applyFill="1" applyAlignment="1">
      <alignment/>
    </xf>
    <xf numFmtId="0" fontId="33" fillId="0" borderId="18" xfId="0" applyFont="1" applyBorder="1" applyAlignment="1">
      <alignment vertical="center"/>
    </xf>
    <xf numFmtId="0" fontId="33" fillId="0" borderId="18" xfId="0" applyFont="1" applyBorder="1" applyAlignment="1">
      <alignment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9" fontId="22" fillId="0" borderId="19" xfId="66" applyFont="1" applyFill="1" applyBorder="1" applyAlignment="1" applyProtection="1">
      <alignment/>
      <protection/>
    </xf>
    <xf numFmtId="0" fontId="22" fillId="0" borderId="18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166" fontId="33" fillId="7" borderId="19" xfId="0" applyNumberFormat="1" applyFont="1" applyFill="1" applyBorder="1" applyAlignment="1">
      <alignment/>
    </xf>
    <xf numFmtId="166" fontId="33" fillId="7" borderId="18" xfId="0" applyNumberFormat="1" applyFont="1" applyFill="1" applyBorder="1" applyAlignment="1">
      <alignment/>
    </xf>
    <xf numFmtId="0" fontId="33" fillId="0" borderId="18" xfId="0" applyFont="1" applyBorder="1" applyAlignment="1">
      <alignment horizontal="center" wrapText="1"/>
    </xf>
    <xf numFmtId="9" fontId="22" fillId="0" borderId="18" xfId="66" applyFont="1" applyFill="1" applyBorder="1" applyAlignment="1" applyProtection="1">
      <alignment/>
      <protection/>
    </xf>
    <xf numFmtId="9" fontId="33" fillId="7" borderId="18" xfId="66" applyFont="1" applyFill="1" applyBorder="1" applyAlignment="1" applyProtection="1">
      <alignment/>
      <protection/>
    </xf>
    <xf numFmtId="0" fontId="33" fillId="0" borderId="18" xfId="0" applyFont="1" applyBorder="1" applyAlignment="1">
      <alignment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center" wrapText="1"/>
    </xf>
    <xf numFmtId="168" fontId="33" fillId="0" borderId="18" xfId="0" applyNumberFormat="1" applyFont="1" applyBorder="1" applyAlignment="1">
      <alignment/>
    </xf>
    <xf numFmtId="0" fontId="33" fillId="7" borderId="18" xfId="0" applyFont="1" applyFill="1" applyBorder="1" applyAlignment="1">
      <alignment wrapText="1"/>
    </xf>
    <xf numFmtId="168" fontId="33" fillId="7" borderId="18" xfId="0" applyNumberFormat="1" applyFont="1" applyFill="1" applyBorder="1" applyAlignment="1">
      <alignment/>
    </xf>
    <xf numFmtId="166" fontId="33" fillId="0" borderId="18" xfId="0" applyNumberFormat="1" applyFont="1" applyBorder="1" applyAlignment="1">
      <alignment/>
    </xf>
    <xf numFmtId="166" fontId="22" fillId="0" borderId="18" xfId="0" applyNumberFormat="1" applyFont="1" applyBorder="1" applyAlignment="1">
      <alignment/>
    </xf>
    <xf numFmtId="0" fontId="33" fillId="25" borderId="18" xfId="0" applyFont="1" applyFill="1" applyBorder="1" applyAlignment="1">
      <alignment/>
    </xf>
    <xf numFmtId="166" fontId="33" fillId="25" borderId="18" xfId="0" applyNumberFormat="1" applyFont="1" applyFill="1" applyBorder="1" applyAlignment="1">
      <alignment/>
    </xf>
    <xf numFmtId="0" fontId="22" fillId="0" borderId="18" xfId="0" applyFont="1" applyBorder="1" applyAlignment="1">
      <alignment/>
    </xf>
    <xf numFmtId="0" fontId="33" fillId="6" borderId="18" xfId="0" applyFont="1" applyFill="1" applyBorder="1" applyAlignment="1">
      <alignment/>
    </xf>
    <xf numFmtId="166" fontId="33" fillId="6" borderId="18" xfId="0" applyNumberFormat="1" applyFont="1" applyFill="1" applyBorder="1" applyAlignment="1">
      <alignment/>
    </xf>
    <xf numFmtId="166" fontId="33" fillId="0" borderId="18" xfId="0" applyNumberFormat="1" applyFont="1" applyFill="1" applyBorder="1" applyAlignment="1">
      <alignment/>
    </xf>
    <xf numFmtId="0" fontId="33" fillId="7" borderId="18" xfId="0" applyFont="1" applyFill="1" applyBorder="1" applyAlignment="1">
      <alignment/>
    </xf>
    <xf numFmtId="166" fontId="22" fillId="20" borderId="0" xfId="0" applyNumberFormat="1" applyFont="1" applyFill="1" applyAlignment="1">
      <alignment/>
    </xf>
    <xf numFmtId="0" fontId="33" fillId="0" borderId="18" xfId="0" applyFont="1" applyFill="1" applyBorder="1" applyAlignment="1">
      <alignment/>
    </xf>
    <xf numFmtId="0" fontId="22" fillId="0" borderId="18" xfId="0" applyFont="1" applyBorder="1" applyAlignment="1">
      <alignment horizontal="center"/>
    </xf>
    <xf numFmtId="169" fontId="22" fillId="0" borderId="18" xfId="0" applyNumberFormat="1" applyFont="1" applyBorder="1" applyAlignment="1">
      <alignment/>
    </xf>
    <xf numFmtId="169" fontId="33" fillId="7" borderId="18" xfId="0" applyNumberFormat="1" applyFont="1" applyFill="1" applyBorder="1" applyAlignment="1">
      <alignment/>
    </xf>
    <xf numFmtId="0" fontId="22" fillId="20" borderId="0" xfId="0" applyFont="1" applyFill="1" applyBorder="1" applyAlignment="1">
      <alignment horizontal="center"/>
    </xf>
    <xf numFmtId="168" fontId="22" fillId="0" borderId="18" xfId="0" applyNumberFormat="1" applyFont="1" applyBorder="1" applyAlignment="1">
      <alignment horizontal="center"/>
    </xf>
    <xf numFmtId="168" fontId="22" fillId="20" borderId="0" xfId="0" applyNumberFormat="1" applyFont="1" applyFill="1" applyAlignment="1">
      <alignment/>
    </xf>
    <xf numFmtId="166" fontId="22" fillId="0" borderId="18" xfId="0" applyNumberFormat="1" applyFont="1" applyFill="1" applyBorder="1" applyAlignment="1">
      <alignment/>
    </xf>
    <xf numFmtId="174" fontId="33" fillId="0" borderId="18" xfId="0" applyNumberFormat="1" applyFont="1" applyBorder="1" applyAlignment="1">
      <alignment horizontal="center" vertical="center"/>
    </xf>
    <xf numFmtId="168" fontId="61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168" fontId="63" fillId="0" borderId="0" xfId="0" applyNumberFormat="1" applyFont="1" applyFill="1" applyAlignment="1">
      <alignment/>
    </xf>
    <xf numFmtId="0" fontId="62" fillId="20" borderId="0" xfId="0" applyFont="1" applyFill="1" applyAlignment="1">
      <alignment/>
    </xf>
    <xf numFmtId="0" fontId="59" fillId="20" borderId="0" xfId="0" applyFont="1" applyFill="1" applyAlignment="1">
      <alignment horizontal="right"/>
    </xf>
    <xf numFmtId="168" fontId="59" fillId="20" borderId="0" xfId="0" applyNumberFormat="1" applyFont="1" applyFill="1" applyAlignment="1">
      <alignment/>
    </xf>
    <xf numFmtId="0" fontId="34" fillId="20" borderId="0" xfId="0" applyFont="1" applyFill="1" applyAlignment="1">
      <alignment horizontal="center"/>
    </xf>
    <xf numFmtId="166" fontId="33" fillId="22" borderId="18" xfId="0" applyNumberFormat="1" applyFont="1" applyFill="1" applyBorder="1" applyAlignment="1">
      <alignment/>
    </xf>
    <xf numFmtId="174" fontId="33" fillId="0" borderId="18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33" fillId="0" borderId="18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168" fontId="22" fillId="0" borderId="15" xfId="0" applyNumberFormat="1" applyFont="1" applyBorder="1" applyAlignment="1">
      <alignment/>
    </xf>
    <xf numFmtId="0" fontId="22" fillId="0" borderId="23" xfId="0" applyFont="1" applyFill="1" applyBorder="1" applyAlignment="1">
      <alignment horizontal="left"/>
    </xf>
    <xf numFmtId="168" fontId="22" fillId="0" borderId="0" xfId="0" applyNumberFormat="1" applyFont="1" applyAlignment="1">
      <alignment/>
    </xf>
    <xf numFmtId="0" fontId="34" fillId="7" borderId="18" xfId="0" applyFont="1" applyFill="1" applyBorder="1" applyAlignment="1">
      <alignment wrapText="1"/>
    </xf>
    <xf numFmtId="168" fontId="34" fillId="7" borderId="18" xfId="0" applyNumberFormat="1" applyFont="1" applyFill="1" applyBorder="1" applyAlignment="1">
      <alignment/>
    </xf>
    <xf numFmtId="0" fontId="37" fillId="20" borderId="0" xfId="0" applyFont="1" applyFill="1" applyAlignment="1">
      <alignment/>
    </xf>
    <xf numFmtId="0" fontId="40" fillId="20" borderId="0" xfId="0" applyFont="1" applyFill="1" applyAlignment="1">
      <alignment/>
    </xf>
    <xf numFmtId="0" fontId="33" fillId="20" borderId="0" xfId="0" applyFont="1" applyFill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166" fontId="33" fillId="0" borderId="18" xfId="0" applyNumberFormat="1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169" fontId="33" fillId="0" borderId="19" xfId="42" applyFont="1" applyFill="1" applyBorder="1" applyAlignment="1" applyProtection="1">
      <alignment horizontal="left"/>
      <protection/>
    </xf>
    <xf numFmtId="169" fontId="33" fillId="0" borderId="18" xfId="42" applyFont="1" applyFill="1" applyBorder="1" applyAlignment="1" applyProtection="1">
      <alignment/>
      <protection/>
    </xf>
    <xf numFmtId="169" fontId="22" fillId="0" borderId="19" xfId="42" applyFont="1" applyFill="1" applyBorder="1" applyAlignment="1" applyProtection="1">
      <alignment horizontal="left"/>
      <protection/>
    </xf>
    <xf numFmtId="169" fontId="22" fillId="0" borderId="18" xfId="42" applyFont="1" applyFill="1" applyBorder="1" applyAlignment="1" applyProtection="1">
      <alignment/>
      <protection/>
    </xf>
    <xf numFmtId="169" fontId="22" fillId="0" borderId="18" xfId="42" applyFont="1" applyFill="1" applyBorder="1" applyAlignment="1" applyProtection="1">
      <alignment horizontal="left"/>
      <protection/>
    </xf>
    <xf numFmtId="0" fontId="33" fillId="0" borderId="20" xfId="0" applyFont="1" applyBorder="1" applyAlignment="1">
      <alignment horizontal="left"/>
    </xf>
    <xf numFmtId="0" fontId="33" fillId="0" borderId="19" xfId="0" applyFont="1" applyBorder="1" applyAlignment="1">
      <alignment horizontal="left"/>
    </xf>
    <xf numFmtId="169" fontId="33" fillId="7" borderId="19" xfId="42" applyFont="1" applyFill="1" applyBorder="1" applyAlignment="1" applyProtection="1">
      <alignment horizontal="center"/>
      <protection/>
    </xf>
    <xf numFmtId="169" fontId="22" fillId="0" borderId="19" xfId="42" applyFont="1" applyFill="1" applyBorder="1" applyAlignment="1" applyProtection="1">
      <alignment horizontal="center"/>
      <protection/>
    </xf>
    <xf numFmtId="169" fontId="22" fillId="20" borderId="0" xfId="42" applyFont="1" applyFill="1" applyBorder="1" applyAlignment="1" applyProtection="1">
      <alignment/>
      <protection/>
    </xf>
    <xf numFmtId="0" fontId="37" fillId="0" borderId="0" xfId="0" applyFont="1" applyFill="1" applyAlignment="1">
      <alignment/>
    </xf>
    <xf numFmtId="0" fontId="35" fillId="0" borderId="0" xfId="0" applyFont="1" applyAlignment="1">
      <alignment/>
    </xf>
    <xf numFmtId="0" fontId="64" fillId="7" borderId="0" xfId="0" applyFont="1" applyFill="1" applyAlignment="1">
      <alignment horizontal="justify" vertical="top" wrapText="1"/>
    </xf>
    <xf numFmtId="0" fontId="65" fillId="7" borderId="0" xfId="0" applyFont="1" applyFill="1" applyAlignment="1">
      <alignment horizontal="right" vertical="top" wrapText="1"/>
    </xf>
    <xf numFmtId="0" fontId="37" fillId="0" borderId="18" xfId="0" applyFont="1" applyBorder="1" applyAlignment="1">
      <alignment horizontal="justify" vertical="top" wrapText="1"/>
    </xf>
    <xf numFmtId="0" fontId="64" fillId="0" borderId="18" xfId="0" applyFont="1" applyBorder="1" applyAlignment="1">
      <alignment horizontal="right" vertical="top" wrapText="1"/>
    </xf>
    <xf numFmtId="0" fontId="66" fillId="0" borderId="18" xfId="0" applyFont="1" applyBorder="1" applyAlignment="1">
      <alignment vertical="top" wrapText="1"/>
    </xf>
    <xf numFmtId="0" fontId="66" fillId="0" borderId="18" xfId="0" applyFont="1" applyBorder="1" applyAlignment="1">
      <alignment horizontal="right" vertical="top" wrapText="1"/>
    </xf>
    <xf numFmtId="0" fontId="35" fillId="0" borderId="18" xfId="0" applyFont="1" applyBorder="1" applyAlignment="1">
      <alignment horizontal="right" wrapText="1"/>
    </xf>
    <xf numFmtId="0" fontId="66" fillId="0" borderId="18" xfId="0" applyFont="1" applyBorder="1" applyAlignment="1">
      <alignment horizontal="right" wrapText="1"/>
    </xf>
    <xf numFmtId="0" fontId="37" fillId="0" borderId="18" xfId="0" applyFont="1" applyBorder="1" applyAlignment="1">
      <alignment vertical="top" wrapText="1"/>
    </xf>
    <xf numFmtId="0" fontId="37" fillId="0" borderId="18" xfId="0" applyFont="1" applyBorder="1" applyAlignment="1">
      <alignment horizontal="right" wrapText="1"/>
    </xf>
    <xf numFmtId="0" fontId="35" fillId="0" borderId="18" xfId="0" applyFont="1" applyBorder="1" applyAlignment="1">
      <alignment vertical="top" wrapText="1"/>
    </xf>
    <xf numFmtId="0" fontId="66" fillId="0" borderId="18" xfId="0" applyFont="1" applyBorder="1" applyAlignment="1">
      <alignment horizontal="justify" vertical="top" wrapText="1"/>
    </xf>
    <xf numFmtId="0" fontId="64" fillId="0" borderId="18" xfId="0" applyFont="1" applyBorder="1" applyAlignment="1">
      <alignment horizontal="right" wrapText="1"/>
    </xf>
    <xf numFmtId="0" fontId="35" fillId="0" borderId="18" xfId="0" applyFont="1" applyBorder="1" applyAlignment="1">
      <alignment horizontal="justify" vertical="top" wrapText="1"/>
    </xf>
    <xf numFmtId="0" fontId="6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24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26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0" fontId="17" fillId="7" borderId="30" xfId="0" applyFont="1" applyFill="1" applyBorder="1" applyAlignment="1">
      <alignment/>
    </xf>
    <xf numFmtId="0" fontId="17" fillId="7" borderId="31" xfId="0" applyFont="1" applyFill="1" applyBorder="1" applyAlignment="1">
      <alignment/>
    </xf>
    <xf numFmtId="0" fontId="17" fillId="7" borderId="32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7" fillId="0" borderId="35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37" xfId="0" applyFont="1" applyFill="1" applyBorder="1" applyAlignment="1">
      <alignment/>
    </xf>
    <xf numFmtId="172" fontId="17" fillId="0" borderId="19" xfId="0" applyNumberFormat="1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38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" fontId="17" fillId="7" borderId="39" xfId="0" applyNumberFormat="1" applyFont="1" applyFill="1" applyBorder="1" applyAlignment="1">
      <alignment/>
    </xf>
    <xf numFmtId="2" fontId="17" fillId="7" borderId="32" xfId="0" applyNumberFormat="1" applyFont="1" applyFill="1" applyBorder="1" applyAlignment="1">
      <alignment/>
    </xf>
    <xf numFmtId="0" fontId="45" fillId="20" borderId="0" xfId="55" applyFont="1" applyFill="1">
      <alignment/>
      <protection/>
    </xf>
    <xf numFmtId="0" fontId="33" fillId="0" borderId="18" xfId="55" applyFont="1" applyBorder="1" applyAlignment="1">
      <alignment horizontal="center" vertical="center" wrapText="1"/>
      <protection/>
    </xf>
    <xf numFmtId="0" fontId="22" fillId="20" borderId="0" xfId="55" applyFont="1" applyFill="1" applyAlignment="1">
      <alignment horizontal="center" vertical="center" wrapText="1"/>
      <protection/>
    </xf>
    <xf numFmtId="0" fontId="22" fillId="0" borderId="18" xfId="55" applyFont="1" applyBorder="1" applyAlignment="1">
      <alignment horizontal="justify" vertical="top" wrapText="1"/>
      <protection/>
    </xf>
    <xf numFmtId="0" fontId="0" fillId="24" borderId="0" xfId="55" applyFont="1" applyFill="1">
      <alignment/>
      <protection/>
    </xf>
    <xf numFmtId="0" fontId="22" fillId="0" borderId="18" xfId="55" applyFont="1" applyBorder="1">
      <alignment/>
      <protection/>
    </xf>
    <xf numFmtId="0" fontId="22" fillId="0" borderId="18" xfId="55" applyFont="1" applyBorder="1" applyAlignment="1">
      <alignment wrapText="1"/>
      <protection/>
    </xf>
    <xf numFmtId="0" fontId="35" fillId="24" borderId="0" xfId="62" applyFont="1" applyFill="1">
      <alignment/>
      <protection/>
    </xf>
    <xf numFmtId="0" fontId="37" fillId="24" borderId="0" xfId="62" applyFont="1" applyFill="1">
      <alignment/>
      <protection/>
    </xf>
    <xf numFmtId="0" fontId="35" fillId="24" borderId="0" xfId="62" applyFont="1" applyFill="1" applyAlignment="1">
      <alignment horizontal="center"/>
      <protection/>
    </xf>
    <xf numFmtId="0" fontId="35" fillId="24" borderId="18" xfId="62" applyFont="1" applyFill="1" applyBorder="1" applyAlignment="1" applyProtection="1">
      <alignment horizontal="center"/>
      <protection locked="0"/>
    </xf>
    <xf numFmtId="0" fontId="35" fillId="24" borderId="0" xfId="62" applyFont="1" applyFill="1" applyProtection="1">
      <alignment/>
      <protection locked="0"/>
    </xf>
    <xf numFmtId="0" fontId="35" fillId="24" borderId="40" xfId="62" applyFont="1" applyFill="1" applyBorder="1" applyProtection="1">
      <alignment/>
      <protection locked="0"/>
    </xf>
    <xf numFmtId="0" fontId="65" fillId="7" borderId="0" xfId="0" applyFont="1" applyFill="1" applyAlignment="1">
      <alignment vertical="top" wrapText="1"/>
    </xf>
    <xf numFmtId="0" fontId="65" fillId="7" borderId="0" xfId="0" applyFont="1" applyFill="1" applyAlignment="1">
      <alignment horizontal="center" vertical="top" wrapText="1"/>
    </xf>
    <xf numFmtId="0" fontId="66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0" fontId="64" fillId="0" borderId="0" xfId="0" applyFont="1" applyAlignment="1">
      <alignment horizontal="right" vertical="top" wrapText="1"/>
    </xf>
    <xf numFmtId="0" fontId="66" fillId="0" borderId="0" xfId="0" applyFont="1" applyAlignment="1">
      <alignment horizontal="right" vertical="top" wrapText="1"/>
    </xf>
    <xf numFmtId="0" fontId="66" fillId="0" borderId="31" xfId="0" applyFont="1" applyBorder="1" applyAlignment="1">
      <alignment vertical="top" wrapText="1"/>
    </xf>
    <xf numFmtId="0" fontId="66" fillId="0" borderId="31" xfId="0" applyFont="1" applyBorder="1" applyAlignment="1">
      <alignment horizontal="right" vertical="top" wrapText="1"/>
    </xf>
    <xf numFmtId="0" fontId="64" fillId="0" borderId="31" xfId="0" applyFont="1" applyBorder="1" applyAlignment="1">
      <alignment vertical="top" wrapText="1"/>
    </xf>
    <xf numFmtId="0" fontId="33" fillId="0" borderId="18" xfId="0" applyNumberFormat="1" applyFont="1" applyBorder="1" applyAlignment="1">
      <alignment horizontal="center" vertical="center"/>
    </xf>
    <xf numFmtId="9" fontId="22" fillId="0" borderId="18" xfId="67" applyFont="1" applyFill="1" applyBorder="1" applyAlignment="1" applyProtection="1">
      <alignment/>
      <protection/>
    </xf>
    <xf numFmtId="168" fontId="33" fillId="0" borderId="18" xfId="0" applyNumberFormat="1" applyFont="1" applyBorder="1" applyAlignment="1">
      <alignment horizontal="center" vertical="center"/>
    </xf>
    <xf numFmtId="172" fontId="22" fillId="20" borderId="0" xfId="0" applyNumberFormat="1" applyFont="1" applyFill="1" applyAlignment="1">
      <alignment/>
    </xf>
    <xf numFmtId="0" fontId="22" fillId="0" borderId="0" xfId="0" applyFont="1" applyBorder="1" applyAlignment="1">
      <alignment/>
    </xf>
    <xf numFmtId="0" fontId="34" fillId="0" borderId="0" xfId="0" applyFont="1" applyBorder="1" applyAlignment="1">
      <alignment/>
    </xf>
    <xf numFmtId="168" fontId="34" fillId="0" borderId="41" xfId="42" applyNumberFormat="1" applyFont="1" applyFill="1" applyBorder="1" applyAlignment="1" applyProtection="1">
      <alignment horizontal="right" vertical="center"/>
      <protection/>
    </xf>
    <xf numFmtId="0" fontId="22" fillId="0" borderId="42" xfId="0" applyFont="1" applyBorder="1" applyAlignment="1">
      <alignment/>
    </xf>
    <xf numFmtId="0" fontId="45" fillId="0" borderId="42" xfId="0" applyFont="1" applyBorder="1" applyAlignment="1">
      <alignment/>
    </xf>
    <xf numFmtId="0" fontId="40" fillId="0" borderId="42" xfId="59" applyNumberFormat="1" applyFont="1" applyFill="1" applyBorder="1" applyAlignment="1" applyProtection="1">
      <alignment vertical="center"/>
      <protection/>
    </xf>
    <xf numFmtId="168" fontId="38" fillId="24" borderId="0" xfId="59" applyNumberFormat="1" applyFont="1" applyFill="1" applyBorder="1" applyAlignment="1" applyProtection="1">
      <alignment vertical="center"/>
      <protection/>
    </xf>
    <xf numFmtId="0" fontId="40" fillId="0" borderId="0" xfId="58" applyFont="1" applyFill="1" applyBorder="1" applyAlignment="1">
      <alignment vertical="top" wrapText="1"/>
      <protection/>
    </xf>
    <xf numFmtId="168" fontId="34" fillId="7" borderId="43" xfId="42" applyNumberFormat="1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>
      <alignment horizontal="right" vertical="center" wrapText="1"/>
    </xf>
    <xf numFmtId="166" fontId="34" fillId="26" borderId="0" xfId="60" applyNumberFormat="1" applyFont="1" applyFill="1" applyBorder="1" applyAlignment="1">
      <alignment vertical="center"/>
      <protection/>
    </xf>
    <xf numFmtId="168" fontId="40" fillId="27" borderId="10" xfId="0" applyNumberFormat="1" applyFont="1" applyFill="1" applyBorder="1" applyAlignment="1">
      <alignment/>
    </xf>
    <xf numFmtId="168" fontId="68" fillId="0" borderId="0" xfId="42" applyNumberFormat="1" applyFont="1" applyFill="1" applyBorder="1" applyAlignment="1" applyProtection="1">
      <alignment vertical="center"/>
      <protection/>
    </xf>
    <xf numFmtId="0" fontId="27" fillId="0" borderId="10" xfId="0" applyFont="1" applyBorder="1" applyAlignment="1">
      <alignment horizontal="center" vertical="center"/>
    </xf>
    <xf numFmtId="0" fontId="38" fillId="24" borderId="0" xfId="57" applyNumberFormat="1" applyFont="1" applyFill="1" applyBorder="1" applyAlignment="1">
      <alignment horizontal="center" vertical="center"/>
      <protection/>
    </xf>
    <xf numFmtId="0" fontId="44" fillId="24" borderId="0" xfId="57" applyFont="1" applyFill="1" applyBorder="1" applyAlignment="1">
      <alignment horizontal="center" vertical="center"/>
      <protection/>
    </xf>
    <xf numFmtId="0" fontId="28" fillId="24" borderId="0" xfId="0" applyFont="1" applyFill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41" fillId="24" borderId="0" xfId="0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center" vertical="center" wrapText="1"/>
    </xf>
    <xf numFmtId="165" fontId="34" fillId="24" borderId="0" xfId="0" applyNumberFormat="1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165" fontId="28" fillId="24" borderId="0" xfId="0" applyNumberFormat="1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33" fillId="7" borderId="0" xfId="0" applyFont="1" applyFill="1" applyBorder="1" applyAlignment="1">
      <alignment horizontal="center"/>
    </xf>
    <xf numFmtId="164" fontId="22" fillId="7" borderId="0" xfId="0" applyNumberFormat="1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164" fontId="22" fillId="20" borderId="0" xfId="0" applyNumberFormat="1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64" fontId="23" fillId="24" borderId="0" xfId="0" applyNumberFormat="1" applyFont="1" applyFill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/>
    </xf>
    <xf numFmtId="0" fontId="34" fillId="0" borderId="10" xfId="57" applyFont="1" applyFill="1" applyBorder="1" applyAlignment="1">
      <alignment horizontal="center" vertical="center"/>
      <protection/>
    </xf>
    <xf numFmtId="0" fontId="34" fillId="0" borderId="41" xfId="57" applyFont="1" applyFill="1" applyBorder="1" applyAlignment="1">
      <alignment horizontal="center" vertical="center"/>
      <protection/>
    </xf>
    <xf numFmtId="0" fontId="38" fillId="24" borderId="0" xfId="58" applyFont="1" applyFill="1" applyBorder="1" applyAlignment="1">
      <alignment horizontal="center"/>
      <protection/>
    </xf>
    <xf numFmtId="166" fontId="38" fillId="24" borderId="0" xfId="58" applyNumberFormat="1" applyFont="1" applyFill="1" applyBorder="1" applyAlignment="1">
      <alignment horizontal="center"/>
      <protection/>
    </xf>
    <xf numFmtId="0" fontId="34" fillId="0" borderId="0" xfId="57" applyFont="1" applyFill="1" applyBorder="1" applyAlignment="1">
      <alignment horizontal="center" vertical="center"/>
      <protection/>
    </xf>
    <xf numFmtId="0" fontId="45" fillId="0" borderId="0" xfId="59" applyNumberFormat="1" applyFont="1" applyFill="1" applyBorder="1" applyAlignment="1" applyProtection="1">
      <alignment horizontal="center" vertical="center" wrapText="1"/>
      <protection/>
    </xf>
    <xf numFmtId="168" fontId="41" fillId="24" borderId="0" xfId="42" applyNumberFormat="1" applyFont="1" applyFill="1" applyBorder="1" applyAlignment="1" applyProtection="1">
      <alignment horizontal="center" vertical="center"/>
      <protection/>
    </xf>
    <xf numFmtId="0" fontId="34" fillId="0" borderId="0" xfId="57" applyFont="1" applyFill="1" applyBorder="1" applyAlignment="1">
      <alignment horizontal="left" vertical="center"/>
      <protection/>
    </xf>
    <xf numFmtId="0" fontId="22" fillId="0" borderId="0" xfId="59" applyNumberFormat="1" applyFont="1" applyFill="1" applyBorder="1" applyAlignment="1" applyProtection="1">
      <alignment/>
      <protection/>
    </xf>
    <xf numFmtId="0" fontId="33" fillId="0" borderId="0" xfId="0" applyFont="1" applyBorder="1" applyAlignment="1">
      <alignment horizontal="center" vertical="center" wrapText="1"/>
    </xf>
    <xf numFmtId="168" fontId="28" fillId="0" borderId="0" xfId="63" applyNumberFormat="1" applyFont="1" applyFill="1" applyBorder="1" applyAlignment="1" applyProtection="1">
      <alignment horizontal="right"/>
      <protection locked="0"/>
    </xf>
    <xf numFmtId="0" fontId="41" fillId="0" borderId="0" xfId="63" applyNumberFormat="1" applyFont="1" applyFill="1" applyBorder="1" applyAlignment="1" applyProtection="1">
      <alignment horizontal="right" vertical="center"/>
      <protection hidden="1"/>
    </xf>
    <xf numFmtId="168" fontId="41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63" applyFont="1" applyFill="1" applyBorder="1" applyAlignment="1" applyProtection="1">
      <alignment horizontal="center" vertical="center" wrapText="1"/>
      <protection/>
    </xf>
    <xf numFmtId="0" fontId="28" fillId="0" borderId="0" xfId="63" applyFont="1" applyFill="1" applyBorder="1" applyAlignment="1" applyProtection="1">
      <alignment horizontal="right" vertical="center"/>
      <protection hidden="1"/>
    </xf>
    <xf numFmtId="168" fontId="41" fillId="0" borderId="0" xfId="63" applyNumberFormat="1" applyFont="1" applyFill="1" applyBorder="1" applyAlignment="1" applyProtection="1">
      <alignment horizontal="center" wrapText="1"/>
      <protection locked="0"/>
    </xf>
    <xf numFmtId="0" fontId="34" fillId="0" borderId="0" xfId="63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Fill="1" applyBorder="1" applyAlignment="1">
      <alignment horizontal="right"/>
    </xf>
    <xf numFmtId="168" fontId="40" fillId="0" borderId="0" xfId="63" applyNumberFormat="1" applyFont="1" applyFill="1" applyBorder="1" applyAlignment="1" applyProtection="1">
      <alignment horizontal="center"/>
      <protection hidden="1"/>
    </xf>
    <xf numFmtId="0" fontId="33" fillId="7" borderId="18" xfId="63" applyFont="1" applyFill="1" applyBorder="1" applyAlignment="1" applyProtection="1">
      <alignment vertical="center" wrapText="1"/>
      <protection/>
    </xf>
    <xf numFmtId="0" fontId="53" fillId="0" borderId="18" xfId="63" applyFont="1" applyFill="1" applyBorder="1" applyAlignment="1" applyProtection="1">
      <alignment horizontal="left" vertical="center" wrapText="1"/>
      <protection/>
    </xf>
    <xf numFmtId="0" fontId="54" fillId="0" borderId="18" xfId="63" applyFont="1" applyFill="1" applyBorder="1" applyAlignment="1" applyProtection="1">
      <alignment horizontal="left" vertical="center" wrapText="1"/>
      <protection/>
    </xf>
    <xf numFmtId="0" fontId="53" fillId="0" borderId="18" xfId="63" applyFont="1" applyFill="1" applyBorder="1" applyAlignment="1" applyProtection="1">
      <alignment vertical="center" wrapText="1"/>
      <protection/>
    </xf>
    <xf numFmtId="0" fontId="54" fillId="0" borderId="18" xfId="63" applyFont="1" applyFill="1" applyBorder="1" applyAlignment="1" applyProtection="1">
      <alignment vertical="center" wrapText="1"/>
      <protection/>
    </xf>
    <xf numFmtId="174" fontId="33" fillId="0" borderId="18" xfId="63" applyNumberFormat="1" applyFont="1" applyFill="1" applyBorder="1" applyAlignment="1" applyProtection="1">
      <alignment horizontal="center" vertical="center" wrapText="1"/>
      <protection/>
    </xf>
    <xf numFmtId="164" fontId="33" fillId="0" borderId="18" xfId="63" applyNumberFormat="1" applyFont="1" applyFill="1" applyBorder="1" applyAlignment="1" applyProtection="1">
      <alignment horizontal="center" vertical="center" wrapText="1"/>
      <protection/>
    </xf>
    <xf numFmtId="0" fontId="34" fillId="0" borderId="41" xfId="63" applyFont="1" applyFill="1" applyBorder="1" applyAlignment="1" applyProtection="1">
      <alignment horizontal="center" vertical="center" wrapText="1"/>
      <protection/>
    </xf>
    <xf numFmtId="0" fontId="54" fillId="0" borderId="18" xfId="63" applyFont="1" applyFill="1" applyBorder="1" applyAlignment="1" applyProtection="1">
      <alignment vertical="center" wrapText="1"/>
      <protection locked="0"/>
    </xf>
    <xf numFmtId="0" fontId="54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27" fillId="0" borderId="18" xfId="63" applyFont="1" applyFill="1" applyBorder="1" applyAlignment="1" applyProtection="1">
      <alignment horizontal="center" vertical="center" wrapText="1"/>
      <protection/>
    </xf>
    <xf numFmtId="0" fontId="53" fillId="0" borderId="18" xfId="0" applyFont="1" applyBorder="1" applyAlignment="1">
      <alignment horizontal="center"/>
    </xf>
    <xf numFmtId="0" fontId="54" fillId="0" borderId="21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49" fontId="34" fillId="20" borderId="10" xfId="63" applyNumberFormat="1" applyFont="1" applyFill="1" applyBorder="1" applyAlignment="1" applyProtection="1">
      <alignment horizontal="center" vertical="center" wrapText="1"/>
      <protection/>
    </xf>
    <xf numFmtId="0" fontId="34" fillId="20" borderId="10" xfId="63" applyFont="1" applyFill="1" applyBorder="1" applyAlignment="1" applyProtection="1">
      <alignment horizontal="center" vertical="center" wrapText="1"/>
      <protection/>
    </xf>
    <xf numFmtId="0" fontId="34" fillId="20" borderId="0" xfId="63" applyFont="1" applyFill="1" applyBorder="1" applyAlignment="1" applyProtection="1">
      <alignment horizontal="center" vertical="center" wrapText="1"/>
      <protection/>
    </xf>
    <xf numFmtId="0" fontId="33" fillId="7" borderId="18" xfId="55" applyFont="1" applyFill="1" applyBorder="1" applyAlignment="1">
      <alignment horizontal="center"/>
      <protection/>
    </xf>
    <xf numFmtId="166" fontId="33" fillId="7" borderId="18" xfId="55" applyNumberFormat="1" applyFont="1" applyFill="1" applyBorder="1" applyAlignment="1">
      <alignment horizontal="center"/>
      <protection/>
    </xf>
    <xf numFmtId="0" fontId="34" fillId="20" borderId="41" xfId="55" applyFont="1" applyFill="1" applyBorder="1" applyAlignment="1">
      <alignment horizontal="center"/>
      <protection/>
    </xf>
    <xf numFmtId="164" fontId="33" fillId="24" borderId="18" xfId="55" applyNumberFormat="1" applyFont="1" applyFill="1" applyBorder="1" applyAlignment="1">
      <alignment horizontal="center"/>
      <protection/>
    </xf>
    <xf numFmtId="0" fontId="22" fillId="0" borderId="18" xfId="55" applyFont="1" applyBorder="1" applyAlignment="1">
      <alignment horizontal="left"/>
      <protection/>
    </xf>
    <xf numFmtId="166" fontId="22" fillId="0" borderId="18" xfId="55" applyNumberFormat="1" applyFont="1" applyBorder="1" applyAlignment="1">
      <alignment horizontal="center"/>
      <protection/>
    </xf>
    <xf numFmtId="166" fontId="33" fillId="0" borderId="18" xfId="55" applyNumberFormat="1" applyFont="1" applyBorder="1" applyAlignment="1">
      <alignment horizontal="center"/>
      <protection/>
    </xf>
    <xf numFmtId="0" fontId="22" fillId="0" borderId="18" xfId="55" applyFont="1" applyBorder="1" applyAlignment="1">
      <alignment horizontal="center"/>
      <protection/>
    </xf>
    <xf numFmtId="0" fontId="33" fillId="0" borderId="18" xfId="55" applyFont="1" applyBorder="1" applyAlignment="1">
      <alignment horizontal="center"/>
      <protection/>
    </xf>
    <xf numFmtId="0" fontId="34" fillId="20" borderId="10" xfId="55" applyFont="1" applyFill="1" applyBorder="1" applyAlignment="1">
      <alignment horizontal="center"/>
      <protection/>
    </xf>
    <xf numFmtId="0" fontId="33" fillId="7" borderId="18" xfId="0" applyFont="1" applyFill="1" applyBorder="1" applyAlignment="1">
      <alignment horizontal="center" wrapText="1"/>
    </xf>
    <xf numFmtId="168" fontId="33" fillId="7" borderId="18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right"/>
    </xf>
    <xf numFmtId="168" fontId="22" fillId="24" borderId="18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 wrapText="1"/>
    </xf>
    <xf numFmtId="0" fontId="34" fillId="20" borderId="13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34" fillId="20" borderId="0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33" fillId="7" borderId="18" xfId="0" applyFont="1" applyFill="1" applyBorder="1" applyAlignment="1">
      <alignment horizontal="center"/>
    </xf>
    <xf numFmtId="0" fontId="22" fillId="24" borderId="18" xfId="0" applyFont="1" applyFill="1" applyBorder="1" applyAlignment="1">
      <alignment horizontal="left"/>
    </xf>
    <xf numFmtId="0" fontId="33" fillId="24" borderId="18" xfId="0" applyFont="1" applyFill="1" applyBorder="1" applyAlignment="1">
      <alignment horizontal="left"/>
    </xf>
    <xf numFmtId="168" fontId="33" fillId="24" borderId="18" xfId="0" applyNumberFormat="1" applyFont="1" applyFill="1" applyBorder="1" applyAlignment="1">
      <alignment horizontal="center"/>
    </xf>
    <xf numFmtId="0" fontId="34" fillId="20" borderId="41" xfId="0" applyFont="1" applyFill="1" applyBorder="1" applyAlignment="1">
      <alignment horizontal="center"/>
    </xf>
    <xf numFmtId="174" fontId="33" fillId="24" borderId="18" xfId="0" applyNumberFormat="1" applyFont="1" applyFill="1" applyBorder="1" applyAlignment="1">
      <alignment horizontal="center"/>
    </xf>
    <xf numFmtId="168" fontId="33" fillId="7" borderId="18" xfId="67" applyNumberFormat="1" applyFont="1" applyFill="1" applyBorder="1" applyAlignment="1" applyProtection="1">
      <alignment horizontal="center"/>
      <protection/>
    </xf>
    <xf numFmtId="9" fontId="33" fillId="7" borderId="18" xfId="67" applyFont="1" applyFill="1" applyBorder="1" applyAlignment="1" applyProtection="1">
      <alignment horizontal="center"/>
      <protection/>
    </xf>
    <xf numFmtId="0" fontId="22" fillId="0" borderId="18" xfId="0" applyFont="1" applyFill="1" applyBorder="1" applyAlignment="1">
      <alignment horizontal="center"/>
    </xf>
    <xf numFmtId="9" fontId="22" fillId="0" borderId="18" xfId="67" applyFont="1" applyFill="1" applyBorder="1" applyAlignment="1" applyProtection="1">
      <alignment horizontal="center"/>
      <protection/>
    </xf>
    <xf numFmtId="168" fontId="22" fillId="0" borderId="18" xfId="67" applyNumberFormat="1" applyFont="1" applyFill="1" applyBorder="1" applyAlignment="1" applyProtection="1">
      <alignment horizontal="center"/>
      <protection/>
    </xf>
    <xf numFmtId="0" fontId="33" fillId="0" borderId="18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174" fontId="33" fillId="0" borderId="18" xfId="0" applyNumberFormat="1" applyFont="1" applyBorder="1" applyAlignment="1">
      <alignment horizontal="center"/>
    </xf>
    <xf numFmtId="174" fontId="33" fillId="24" borderId="18" xfId="0" applyNumberFormat="1" applyFont="1" applyFill="1" applyBorder="1" applyAlignment="1">
      <alignment horizontal="center" vertical="center"/>
    </xf>
    <xf numFmtId="168" fontId="22" fillId="24" borderId="18" xfId="0" applyNumberFormat="1" applyFont="1" applyFill="1" applyBorder="1" applyAlignment="1">
      <alignment/>
    </xf>
    <xf numFmtId="0" fontId="33" fillId="0" borderId="18" xfId="0" applyFont="1" applyBorder="1" applyAlignment="1">
      <alignment horizontal="center" vertical="center"/>
    </xf>
    <xf numFmtId="0" fontId="34" fillId="20" borderId="10" xfId="0" applyFont="1" applyFill="1" applyBorder="1" applyAlignment="1">
      <alignment horizontal="center"/>
    </xf>
    <xf numFmtId="0" fontId="54" fillId="0" borderId="18" xfId="55" applyFont="1" applyBorder="1" applyAlignment="1">
      <alignment/>
      <protection/>
    </xf>
    <xf numFmtId="0" fontId="33" fillId="0" borderId="18" xfId="55" applyFont="1" applyBorder="1" applyAlignment="1">
      <alignment/>
      <protection/>
    </xf>
    <xf numFmtId="0" fontId="33" fillId="0" borderId="18" xfId="55" applyFont="1" applyBorder="1" applyAlignment="1">
      <alignment horizontal="center" vertical="center"/>
      <protection/>
    </xf>
    <xf numFmtId="164" fontId="54" fillId="0" borderId="18" xfId="55" applyNumberFormat="1" applyFont="1" applyBorder="1" applyAlignment="1">
      <alignment horizontal="center" vertical="center"/>
      <protection/>
    </xf>
    <xf numFmtId="0" fontId="54" fillId="0" borderId="18" xfId="55" applyFont="1" applyBorder="1" applyAlignment="1">
      <alignment horizontal="center"/>
      <protection/>
    </xf>
    <xf numFmtId="0" fontId="22" fillId="0" borderId="18" xfId="55" applyFont="1" applyFill="1" applyBorder="1" applyAlignment="1">
      <alignment horizontal="left"/>
      <protection/>
    </xf>
    <xf numFmtId="0" fontId="33" fillId="0" borderId="18" xfId="55" applyFont="1" applyFill="1" applyBorder="1" applyAlignment="1">
      <alignment horizontal="left"/>
      <protection/>
    </xf>
    <xf numFmtId="0" fontId="33" fillId="0" borderId="18" xfId="55" applyFont="1" applyBorder="1" applyAlignment="1">
      <alignment horizontal="left"/>
      <protection/>
    </xf>
    <xf numFmtId="0" fontId="22" fillId="0" borderId="18" xfId="0" applyFont="1" applyBorder="1" applyAlignment="1">
      <alignment horizontal="left"/>
    </xf>
    <xf numFmtId="0" fontId="33" fillId="0" borderId="18" xfId="0" applyFont="1" applyBorder="1" applyAlignment="1">
      <alignment horizontal="left"/>
    </xf>
    <xf numFmtId="175" fontId="33" fillId="0" borderId="18" xfId="0" applyNumberFormat="1" applyFont="1" applyBorder="1" applyAlignment="1">
      <alignment horizontal="center"/>
    </xf>
    <xf numFmtId="166" fontId="33" fillId="7" borderId="18" xfId="0" applyNumberFormat="1" applyFont="1" applyFill="1" applyBorder="1" applyAlignment="1">
      <alignment horizontal="center"/>
    </xf>
    <xf numFmtId="166" fontId="22" fillId="0" borderId="18" xfId="0" applyNumberFormat="1" applyFont="1" applyBorder="1" applyAlignment="1">
      <alignment horizontal="center"/>
    </xf>
    <xf numFmtId="0" fontId="33" fillId="0" borderId="20" xfId="0" applyFont="1" applyBorder="1" applyAlignment="1">
      <alignment horizontal="center" vertical="center"/>
    </xf>
    <xf numFmtId="175" fontId="33" fillId="0" borderId="20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33" fillId="22" borderId="18" xfId="55" applyFont="1" applyFill="1" applyBorder="1" applyAlignment="1">
      <alignment horizontal="center"/>
      <protection/>
    </xf>
    <xf numFmtId="166" fontId="33" fillId="22" borderId="18" xfId="55" applyNumberFormat="1" applyFont="1" applyFill="1" applyBorder="1" applyAlignment="1">
      <alignment horizontal="center"/>
      <protection/>
    </xf>
    <xf numFmtId="0" fontId="22" fillId="24" borderId="18" xfId="0" applyFont="1" applyFill="1" applyBorder="1" applyAlignment="1">
      <alignment horizontal="left" wrapText="1"/>
    </xf>
    <xf numFmtId="0" fontId="22" fillId="20" borderId="31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0" fontId="33" fillId="0" borderId="18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 horizontal="center"/>
    </xf>
    <xf numFmtId="0" fontId="34" fillId="20" borderId="19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22" borderId="18" xfId="0" applyFont="1" applyFill="1" applyBorder="1" applyAlignment="1">
      <alignment horizontal="center"/>
    </xf>
    <xf numFmtId="168" fontId="22" fillId="24" borderId="15" xfId="0" applyNumberFormat="1" applyFont="1" applyFill="1" applyBorder="1" applyAlignment="1">
      <alignment horizontal="center"/>
    </xf>
    <xf numFmtId="0" fontId="33" fillId="24" borderId="34" xfId="0" applyFont="1" applyFill="1" applyBorder="1" applyAlignment="1">
      <alignment horizontal="center"/>
    </xf>
    <xf numFmtId="0" fontId="33" fillId="24" borderId="15" xfId="0" applyFont="1" applyFill="1" applyBorder="1" applyAlignment="1">
      <alignment horizontal="center"/>
    </xf>
    <xf numFmtId="0" fontId="33" fillId="24" borderId="17" xfId="0" applyFont="1" applyFill="1" applyBorder="1" applyAlignment="1">
      <alignment horizontal="center"/>
    </xf>
    <xf numFmtId="0" fontId="33" fillId="24" borderId="22" xfId="0" applyFont="1" applyFill="1" applyBorder="1" applyAlignment="1">
      <alignment horizontal="center"/>
    </xf>
    <xf numFmtId="0" fontId="33" fillId="24" borderId="19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left" wrapText="1"/>
    </xf>
    <xf numFmtId="0" fontId="34" fillId="20" borderId="0" xfId="55" applyFont="1" applyFill="1" applyBorder="1" applyAlignment="1">
      <alignment horizontal="center"/>
      <protection/>
    </xf>
    <xf numFmtId="0" fontId="22" fillId="20" borderId="0" xfId="55" applyFont="1" applyFill="1" applyBorder="1" applyAlignment="1">
      <alignment horizontal="left" wrapText="1"/>
      <protection/>
    </xf>
    <xf numFmtId="0" fontId="35" fillId="7" borderId="0" xfId="62" applyFont="1" applyFill="1" applyBorder="1" applyAlignment="1">
      <alignment horizontal="left" wrapText="1"/>
      <protection/>
    </xf>
    <xf numFmtId="0" fontId="35" fillId="7" borderId="45" xfId="62" applyFont="1" applyFill="1" applyBorder="1" applyAlignment="1">
      <alignment horizontal="left" wrapText="1"/>
      <protection/>
    </xf>
    <xf numFmtId="0" fontId="65" fillId="7" borderId="0" xfId="0" applyFont="1" applyFill="1" applyBorder="1" applyAlignment="1">
      <alignment horizontal="center" vertical="top" wrapText="1"/>
    </xf>
    <xf numFmtId="0" fontId="22" fillId="0" borderId="20" xfId="0" applyFont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lef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-1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rmal_Questionnaire_notes_Englisch" xfId="62"/>
    <cellStyle name="Normal_Sheet1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.dimitrova\Local%20Settings\Temporary%20Internet%20Files\Content.IE5\OZGLAJEN\Documents%20and%20Settings\User\Local%20Settings\Temporary%20Internet%20Files\OLK128\_GFO_MSS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Р"/>
    </sheetNames>
    <sheetDataSet>
      <sheetData sheetId="0">
        <row r="14">
          <cell r="E14">
            <v>0</v>
          </cell>
          <cell r="G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workbookViewId="0" topLeftCell="I1">
      <selection activeCell="AA2" sqref="AA2:AB2"/>
    </sheetView>
  </sheetViews>
  <sheetFormatPr defaultColWidth="9.140625" defaultRowHeight="12.75"/>
  <cols>
    <col min="1" max="9" width="9.140625" style="1" customWidth="1"/>
    <col min="10" max="10" width="5.421875" style="1" customWidth="1"/>
    <col min="11" max="11" width="0.2890625" style="1" customWidth="1"/>
    <col min="12" max="255" width="9.140625" style="1" customWidth="1"/>
    <col min="256" max="16384" width="4.57421875" style="1" customWidth="1"/>
  </cols>
  <sheetData>
    <row r="1" spans="1:38" ht="12.75">
      <c r="A1" s="2"/>
      <c r="B1" s="2"/>
      <c r="C1" s="2"/>
      <c r="D1" s="2"/>
      <c r="E1" s="2"/>
      <c r="F1" s="2"/>
      <c r="G1" s="2"/>
      <c r="H1" s="2"/>
      <c r="I1" s="2"/>
      <c r="L1" s="618" t="s">
        <v>0</v>
      </c>
      <c r="M1" s="618"/>
      <c r="N1" s="618"/>
      <c r="O1" s="618"/>
      <c r="P1" s="618"/>
      <c r="Q1" s="618"/>
      <c r="R1" s="618"/>
      <c r="AA1" s="1">
        <f>DAY(AA2)</f>
        <v>30</v>
      </c>
      <c r="AB1" s="1">
        <f>MONTH(AA2)</f>
        <v>9</v>
      </c>
      <c r="AC1" s="1">
        <f>YEAR(AA2)</f>
        <v>2010</v>
      </c>
      <c r="AD1" s="625" t="str">
        <f>IF(AB3=1,AC1,IF(AB3&lt;1,AA1&amp;"."&amp;AB1&amp;"."&amp;AC1,""))</f>
        <v>30.9.2010</v>
      </c>
      <c r="AE1" s="625"/>
      <c r="AF1" s="625" t="str">
        <f>IF(AB3=1,AD1-1,IF(AB3&lt;1,AA1&amp;"."&amp;AB1&amp;"."&amp;AC1-1,""))</f>
        <v>30.9.2009</v>
      </c>
      <c r="AG1" s="625"/>
      <c r="AH1" s="3"/>
      <c r="AI1" s="624" t="s">
        <v>1</v>
      </c>
      <c r="AJ1" s="624"/>
      <c r="AK1" s="1">
        <v>1</v>
      </c>
      <c r="AL1" s="4">
        <f>MONTH(O30)</f>
        <v>11</v>
      </c>
    </row>
    <row r="2" spans="1:37" ht="12.75" customHeight="1">
      <c r="A2" s="2"/>
      <c r="B2" s="2"/>
      <c r="C2" s="2"/>
      <c r="D2" s="2"/>
      <c r="E2" s="2"/>
      <c r="F2" s="2"/>
      <c r="G2" s="2"/>
      <c r="H2" s="2"/>
      <c r="I2" s="2"/>
      <c r="L2" s="5" t="s">
        <v>2</v>
      </c>
      <c r="M2" s="5"/>
      <c r="N2" s="5"/>
      <c r="O2" s="5"/>
      <c r="P2" s="5"/>
      <c r="Q2" s="5"/>
      <c r="R2" s="5"/>
      <c r="AA2" s="626">
        <f>O28</f>
        <v>40451</v>
      </c>
      <c r="AB2" s="626"/>
      <c r="AI2" s="624" t="s">
        <v>3</v>
      </c>
      <c r="AJ2" s="624"/>
      <c r="AK2" s="1">
        <v>2</v>
      </c>
    </row>
    <row r="3" spans="1:37" ht="12.75" customHeight="1">
      <c r="A3" s="2"/>
      <c r="B3" s="613" t="s">
        <v>4</v>
      </c>
      <c r="C3" s="613"/>
      <c r="D3" s="613"/>
      <c r="E3" s="613"/>
      <c r="F3" s="613"/>
      <c r="G3" s="613"/>
      <c r="H3" s="613"/>
      <c r="I3" s="6"/>
      <c r="L3" s="5" t="s">
        <v>5</v>
      </c>
      <c r="M3" s="5"/>
      <c r="N3" s="5"/>
      <c r="O3" s="5"/>
      <c r="P3" s="5"/>
      <c r="Q3" s="5"/>
      <c r="R3" s="5"/>
      <c r="AA3" s="7" t="str">
        <f>IF(AB3=1,"за ",IF(AB3&lt;1,"към ",""))</f>
        <v>към </v>
      </c>
      <c r="AB3" s="7">
        <f>IF(AND(AB1=12,AA1=31),1,0)</f>
        <v>0</v>
      </c>
      <c r="AI3" s="624" t="s">
        <v>6</v>
      </c>
      <c r="AJ3" s="624"/>
      <c r="AK3" s="1">
        <v>3</v>
      </c>
    </row>
    <row r="4" spans="1:37" ht="12.75" customHeight="1">
      <c r="A4" s="2"/>
      <c r="B4" s="613"/>
      <c r="C4" s="613"/>
      <c r="D4" s="613"/>
      <c r="E4" s="613"/>
      <c r="F4" s="613"/>
      <c r="G4" s="613"/>
      <c r="H4" s="613"/>
      <c r="I4" s="6"/>
      <c r="L4" s="5" t="s">
        <v>7</v>
      </c>
      <c r="M4" s="5"/>
      <c r="N4" s="5"/>
      <c r="O4" s="5"/>
      <c r="P4" s="5"/>
      <c r="Q4" s="5"/>
      <c r="R4" s="5"/>
      <c r="AA4" s="625" t="str">
        <f>IF(O26=AD5,AA5,IF(O26=AD6,AA6,""))</f>
        <v>ИНДИВИДУАЛЕН</v>
      </c>
      <c r="AB4" s="625"/>
      <c r="AC4" s="625"/>
      <c r="AI4" s="624" t="s">
        <v>8</v>
      </c>
      <c r="AJ4" s="624"/>
      <c r="AK4" s="1">
        <v>4</v>
      </c>
    </row>
    <row r="5" spans="1:37" ht="12.75" customHeight="1">
      <c r="A5" s="2"/>
      <c r="B5" s="613"/>
      <c r="C5" s="613"/>
      <c r="D5" s="613"/>
      <c r="E5" s="613"/>
      <c r="F5" s="613"/>
      <c r="G5" s="613"/>
      <c r="H5" s="613"/>
      <c r="I5" s="6"/>
      <c r="L5" s="5" t="s">
        <v>9</v>
      </c>
      <c r="M5" s="5"/>
      <c r="N5" s="5"/>
      <c r="O5" s="5"/>
      <c r="P5" s="5"/>
      <c r="Q5" s="5"/>
      <c r="R5" s="5"/>
      <c r="AA5" s="625" t="s">
        <v>10</v>
      </c>
      <c r="AB5" s="625"/>
      <c r="AC5" s="625"/>
      <c r="AD5" s="1" t="s">
        <v>11</v>
      </c>
      <c r="AI5" s="624" t="s">
        <v>12</v>
      </c>
      <c r="AJ5" s="624"/>
      <c r="AK5" s="1">
        <v>5</v>
      </c>
    </row>
    <row r="6" spans="1:37" ht="12.75">
      <c r="A6" s="2"/>
      <c r="B6" s="613"/>
      <c r="C6" s="613"/>
      <c r="D6" s="613"/>
      <c r="E6" s="613"/>
      <c r="F6" s="613"/>
      <c r="G6" s="613"/>
      <c r="H6" s="613"/>
      <c r="I6" s="2"/>
      <c r="L6" s="5" t="s">
        <v>13</v>
      </c>
      <c r="M6" s="5"/>
      <c r="N6" s="5"/>
      <c r="O6" s="5"/>
      <c r="P6" s="5"/>
      <c r="Q6" s="5"/>
      <c r="R6" s="5"/>
      <c r="AA6" s="625" t="s">
        <v>14</v>
      </c>
      <c r="AB6" s="625"/>
      <c r="AC6" s="625"/>
      <c r="AD6" s="1" t="s">
        <v>15</v>
      </c>
      <c r="AI6" s="624" t="s">
        <v>16</v>
      </c>
      <c r="AJ6" s="624"/>
      <c r="AK6" s="1">
        <v>6</v>
      </c>
    </row>
    <row r="7" spans="1:37" ht="12.75">
      <c r="A7" s="2"/>
      <c r="B7" s="613"/>
      <c r="C7" s="613"/>
      <c r="D7" s="613"/>
      <c r="E7" s="613"/>
      <c r="F7" s="613"/>
      <c r="G7" s="613"/>
      <c r="H7" s="613"/>
      <c r="I7" s="2"/>
      <c r="L7" s="5" t="s">
        <v>17</v>
      </c>
      <c r="M7" s="5"/>
      <c r="N7" s="5"/>
      <c r="O7" s="5"/>
      <c r="P7" s="5"/>
      <c r="Q7" s="5"/>
      <c r="R7" s="5"/>
      <c r="AA7" s="625" t="str">
        <f>IF(AB3=1,"За годината",IF(AB3&lt;1,"За периода",""))</f>
        <v>За периода</v>
      </c>
      <c r="AB7" s="625"/>
      <c r="AC7" s="625"/>
      <c r="AI7" s="624" t="s">
        <v>18</v>
      </c>
      <c r="AJ7" s="624"/>
      <c r="AK7" s="1">
        <v>7</v>
      </c>
    </row>
    <row r="8" spans="1:37" ht="12.75">
      <c r="A8" s="2"/>
      <c r="B8" s="613"/>
      <c r="C8" s="613"/>
      <c r="D8" s="613"/>
      <c r="E8" s="613"/>
      <c r="F8" s="613"/>
      <c r="G8" s="613"/>
      <c r="H8" s="613"/>
      <c r="I8" s="2"/>
      <c r="L8" s="5" t="s">
        <v>19</v>
      </c>
      <c r="M8" s="5"/>
      <c r="N8" s="5"/>
      <c r="O8" s="5"/>
      <c r="P8" s="5"/>
      <c r="Q8" s="5"/>
      <c r="R8" s="5"/>
      <c r="AI8" s="624" t="s">
        <v>20</v>
      </c>
      <c r="AJ8" s="624"/>
      <c r="AK8" s="1">
        <v>8</v>
      </c>
    </row>
    <row r="9" spans="1:37" ht="12.75">
      <c r="A9" s="2"/>
      <c r="B9" s="2"/>
      <c r="C9" s="2"/>
      <c r="D9" s="2"/>
      <c r="E9" s="2"/>
      <c r="F9" s="2"/>
      <c r="G9" s="2"/>
      <c r="H9" s="2"/>
      <c r="I9" s="2"/>
      <c r="L9" s="5" t="s">
        <v>21</v>
      </c>
      <c r="M9" s="5"/>
      <c r="N9" s="5"/>
      <c r="O9" s="5"/>
      <c r="P9" s="5"/>
      <c r="Q9" s="5"/>
      <c r="R9" s="5"/>
      <c r="AI9" s="624" t="s">
        <v>22</v>
      </c>
      <c r="AJ9" s="624"/>
      <c r="AK9" s="1">
        <v>9</v>
      </c>
    </row>
    <row r="10" spans="1:37" ht="12.75">
      <c r="A10" s="2"/>
      <c r="B10" s="2"/>
      <c r="C10" s="2"/>
      <c r="D10" s="2"/>
      <c r="E10" s="2"/>
      <c r="F10" s="2"/>
      <c r="G10" s="2"/>
      <c r="H10" s="2"/>
      <c r="I10" s="2"/>
      <c r="L10" s="5" t="s">
        <v>23</v>
      </c>
      <c r="M10" s="5"/>
      <c r="N10" s="5"/>
      <c r="O10" s="5"/>
      <c r="P10" s="5"/>
      <c r="Q10" s="5"/>
      <c r="R10" s="5"/>
      <c r="AI10" s="624" t="s">
        <v>24</v>
      </c>
      <c r="AJ10" s="624"/>
      <c r="AK10" s="1">
        <v>10</v>
      </c>
    </row>
    <row r="11" spans="1:37" ht="12.75">
      <c r="A11" s="2"/>
      <c r="B11" s="2"/>
      <c r="C11" s="2"/>
      <c r="D11" s="2"/>
      <c r="E11" s="2"/>
      <c r="F11" s="2"/>
      <c r="G11" s="2"/>
      <c r="H11" s="2"/>
      <c r="I11" s="2"/>
      <c r="L11" s="5" t="s">
        <v>25</v>
      </c>
      <c r="M11" s="5"/>
      <c r="N11" s="5"/>
      <c r="O11" s="5"/>
      <c r="P11" s="5"/>
      <c r="Q11" s="5"/>
      <c r="R11" s="5"/>
      <c r="AI11" s="624" t="s">
        <v>26</v>
      </c>
      <c r="AJ11" s="624"/>
      <c r="AK11" s="1">
        <v>11</v>
      </c>
    </row>
    <row r="12" spans="1:37" ht="12.75">
      <c r="A12" s="2"/>
      <c r="B12" s="2"/>
      <c r="C12" s="2"/>
      <c r="D12" s="2"/>
      <c r="E12" s="2"/>
      <c r="F12" s="2"/>
      <c r="G12" s="2"/>
      <c r="H12" s="2"/>
      <c r="I12" s="2"/>
      <c r="L12" s="5" t="s">
        <v>27</v>
      </c>
      <c r="M12" s="5"/>
      <c r="N12" s="5"/>
      <c r="O12" s="5"/>
      <c r="P12" s="5"/>
      <c r="Q12" s="5"/>
      <c r="R12" s="5"/>
      <c r="AI12" s="624" t="s">
        <v>28</v>
      </c>
      <c r="AJ12" s="624"/>
      <c r="AK12" s="1">
        <v>12</v>
      </c>
    </row>
    <row r="13" spans="1:36" ht="12.75">
      <c r="A13" s="2"/>
      <c r="B13" s="2"/>
      <c r="C13" s="2"/>
      <c r="D13" s="2"/>
      <c r="E13" s="2"/>
      <c r="F13" s="2"/>
      <c r="G13" s="2"/>
      <c r="H13" s="2"/>
      <c r="I13" s="2"/>
      <c r="L13" s="5" t="s">
        <v>29</v>
      </c>
      <c r="M13" s="5"/>
      <c r="N13" s="5"/>
      <c r="O13" s="5"/>
      <c r="P13" s="5"/>
      <c r="Q13" s="5"/>
      <c r="R13" s="5"/>
      <c r="AI13" s="624"/>
      <c r="AJ13" s="624"/>
    </row>
    <row r="14" spans="1:36" ht="12.75">
      <c r="A14" s="2"/>
      <c r="B14" s="2"/>
      <c r="C14" s="2"/>
      <c r="D14" s="2"/>
      <c r="E14" s="2"/>
      <c r="F14" s="2"/>
      <c r="G14" s="2"/>
      <c r="H14" s="2"/>
      <c r="I14" s="2"/>
      <c r="L14" s="5" t="s">
        <v>30</v>
      </c>
      <c r="M14" s="5"/>
      <c r="N14" s="5"/>
      <c r="O14" s="5"/>
      <c r="P14" s="5"/>
      <c r="Q14" s="5"/>
      <c r="R14" s="5"/>
      <c r="AI14" s="624"/>
      <c r="AJ14" s="624"/>
    </row>
    <row r="15" spans="1:36" ht="12.75">
      <c r="A15" s="2"/>
      <c r="B15" s="2"/>
      <c r="C15" s="2"/>
      <c r="D15" s="2"/>
      <c r="E15" s="2"/>
      <c r="F15" s="2"/>
      <c r="G15" s="2"/>
      <c r="H15" s="2"/>
      <c r="I15" s="2"/>
      <c r="L15" s="5" t="s">
        <v>31</v>
      </c>
      <c r="M15" s="5"/>
      <c r="N15" s="5"/>
      <c r="O15" s="5"/>
      <c r="P15" s="5"/>
      <c r="Q15" s="5"/>
      <c r="R15" s="5"/>
      <c r="AI15" s="624"/>
      <c r="AJ15" s="624"/>
    </row>
    <row r="16" spans="1:36" ht="12.75">
      <c r="A16" s="2"/>
      <c r="B16" s="2"/>
      <c r="C16" s="2"/>
      <c r="D16" s="2"/>
      <c r="E16" s="2"/>
      <c r="F16" s="2"/>
      <c r="G16" s="2"/>
      <c r="H16" s="2"/>
      <c r="I16" s="2"/>
      <c r="AI16" s="624"/>
      <c r="AJ16" s="624"/>
    </row>
    <row r="17" spans="1:36" ht="12.75">
      <c r="A17" s="2"/>
      <c r="B17" s="2"/>
      <c r="C17" s="2"/>
      <c r="D17" s="2"/>
      <c r="E17" s="2"/>
      <c r="F17" s="2"/>
      <c r="G17" s="2"/>
      <c r="H17" s="2"/>
      <c r="I17" s="2"/>
      <c r="R17" s="8"/>
      <c r="S17" s="8"/>
      <c r="AI17" s="624"/>
      <c r="AJ17" s="624"/>
    </row>
    <row r="18" spans="1:17" ht="12.75">
      <c r="A18" s="2"/>
      <c r="B18" s="2"/>
      <c r="C18" s="2"/>
      <c r="D18" s="2"/>
      <c r="E18" s="2"/>
      <c r="F18" s="2"/>
      <c r="G18" s="2"/>
      <c r="H18" s="2"/>
      <c r="I18" s="2"/>
      <c r="L18" s="1" t="s">
        <v>32</v>
      </c>
      <c r="O18" s="8"/>
      <c r="P18" s="8"/>
      <c r="Q18" s="8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L19" s="618" t="s">
        <v>4</v>
      </c>
      <c r="M19" s="618"/>
      <c r="N19" s="618"/>
      <c r="O19" s="618"/>
      <c r="P19" s="618"/>
      <c r="Q19" s="618"/>
    </row>
    <row r="20" spans="1:9" ht="12.7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17" ht="12.75" customHeight="1">
      <c r="A21" s="2"/>
      <c r="B21" s="2"/>
      <c r="C21" s="2"/>
      <c r="D21" s="2"/>
      <c r="E21" s="2"/>
      <c r="F21" s="2"/>
      <c r="G21" s="2"/>
      <c r="H21" s="2"/>
      <c r="I21" s="2"/>
      <c r="L21" s="1" t="s">
        <v>33</v>
      </c>
      <c r="O21" s="618" t="s">
        <v>34</v>
      </c>
      <c r="P21" s="618"/>
      <c r="Q21" s="618"/>
    </row>
    <row r="22" spans="1:9" ht="12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12" ht="12.75" customHeight="1">
      <c r="A23" s="622" t="str">
        <f>CONCATENATE(AA4," ФИНАНСОВ ОТЧЕТ")</f>
        <v>ИНДИВИДУАЛЕН ФИНАНСОВ ОТЧЕТ</v>
      </c>
      <c r="B23" s="622"/>
      <c r="C23" s="622"/>
      <c r="D23" s="622"/>
      <c r="E23" s="622"/>
      <c r="F23" s="622"/>
      <c r="G23" s="622"/>
      <c r="H23" s="622"/>
      <c r="I23" s="622"/>
      <c r="J23" s="9"/>
      <c r="L23" s="1" t="s">
        <v>35</v>
      </c>
    </row>
    <row r="24" spans="1:12" ht="15.75" customHeight="1">
      <c r="A24" s="622"/>
      <c r="B24" s="622"/>
      <c r="C24" s="622"/>
      <c r="D24" s="622"/>
      <c r="E24" s="622"/>
      <c r="F24" s="622"/>
      <c r="G24" s="622"/>
      <c r="H24" s="622"/>
      <c r="I24" s="622"/>
      <c r="J24" s="9"/>
      <c r="L24" s="1" t="s">
        <v>36</v>
      </c>
    </row>
    <row r="25" spans="1:12" ht="12.75" customHeight="1">
      <c r="A25" s="10"/>
      <c r="B25" s="10"/>
      <c r="C25" s="623" t="str">
        <f>CONCATENATE(AA7," към ",AA1,".",AB1,".",AC1," г.")</f>
        <v>За периода към 30.9.2010 г.</v>
      </c>
      <c r="D25" s="623"/>
      <c r="E25" s="623"/>
      <c r="F25" s="623"/>
      <c r="G25" s="623"/>
      <c r="H25" s="10"/>
      <c r="I25" s="10"/>
      <c r="J25" s="9"/>
      <c r="L25" s="1" t="s">
        <v>37</v>
      </c>
    </row>
    <row r="26" spans="1:15" ht="12.75" customHeight="1">
      <c r="A26" s="10"/>
      <c r="B26" s="10"/>
      <c r="C26" s="623"/>
      <c r="D26" s="623"/>
      <c r="E26" s="623"/>
      <c r="F26" s="623"/>
      <c r="G26" s="623"/>
      <c r="H26" s="10"/>
      <c r="I26" s="10"/>
      <c r="J26" s="9"/>
      <c r="L26" s="1" t="s">
        <v>38</v>
      </c>
      <c r="O26" s="5" t="s">
        <v>11</v>
      </c>
    </row>
    <row r="27" spans="1:9" ht="12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L28" s="1" t="s">
        <v>39</v>
      </c>
      <c r="O28" s="620">
        <v>40451</v>
      </c>
      <c r="P28" s="620"/>
    </row>
    <row r="29" spans="1:9" ht="20.25">
      <c r="A29" s="2"/>
      <c r="B29" s="621" t="s">
        <v>40</v>
      </c>
      <c r="C29" s="621"/>
      <c r="D29" s="621"/>
      <c r="E29" s="621"/>
      <c r="F29" s="621"/>
      <c r="G29" s="621"/>
      <c r="H29" s="621"/>
      <c r="I29" s="11"/>
    </row>
    <row r="30" spans="1:16" ht="20.25">
      <c r="A30" s="2"/>
      <c r="B30" s="621"/>
      <c r="C30" s="621"/>
      <c r="D30" s="621"/>
      <c r="E30" s="621"/>
      <c r="F30" s="621"/>
      <c r="G30" s="621"/>
      <c r="H30" s="621"/>
      <c r="I30" s="11"/>
      <c r="L30" s="1" t="s">
        <v>41</v>
      </c>
      <c r="O30" s="620">
        <v>40512</v>
      </c>
      <c r="P30" s="620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17" ht="12.75">
      <c r="A34" s="2"/>
      <c r="B34" s="2"/>
      <c r="C34" s="2"/>
      <c r="D34" s="2"/>
      <c r="E34" s="2"/>
      <c r="F34" s="2"/>
      <c r="G34" s="2"/>
      <c r="H34" s="2"/>
      <c r="I34" s="2"/>
      <c r="L34" s="1" t="s">
        <v>42</v>
      </c>
      <c r="O34" s="618" t="s">
        <v>812</v>
      </c>
      <c r="P34" s="618"/>
      <c r="Q34" s="618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17" ht="12.75">
      <c r="A36" s="2"/>
      <c r="B36" s="2"/>
      <c r="C36" s="2"/>
      <c r="D36" s="2"/>
      <c r="E36" s="2"/>
      <c r="F36" s="2"/>
      <c r="G36" s="2"/>
      <c r="H36" s="2"/>
      <c r="I36" s="2"/>
      <c r="L36" s="1" t="s">
        <v>43</v>
      </c>
      <c r="O36" s="618" t="s">
        <v>813</v>
      </c>
      <c r="P36" s="618"/>
      <c r="Q36" s="618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L38" s="1" t="s">
        <v>44</v>
      </c>
      <c r="O38" s="619"/>
      <c r="P38" s="619"/>
      <c r="Q38" s="619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L40" s="1" t="s">
        <v>45</v>
      </c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L41" s="1" t="s">
        <v>46</v>
      </c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L42" s="1" t="s">
        <v>47</v>
      </c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L43" s="1" t="s">
        <v>48</v>
      </c>
      <c r="O43" s="5">
        <v>1</v>
      </c>
      <c r="P43" s="12" t="s">
        <v>49</v>
      </c>
      <c r="Q43" s="5">
        <v>4</v>
      </c>
    </row>
    <row r="44" spans="1:9" ht="14.25">
      <c r="A44" s="615" t="s">
        <v>50</v>
      </c>
      <c r="B44" s="615"/>
      <c r="C44" s="615"/>
      <c r="D44" s="615"/>
      <c r="E44" s="2"/>
      <c r="F44" s="615" t="s">
        <v>51</v>
      </c>
      <c r="G44" s="615"/>
      <c r="H44" s="615"/>
      <c r="I44" s="615"/>
    </row>
    <row r="45" spans="1:9" ht="12.75">
      <c r="A45" s="2"/>
      <c r="B45" s="2"/>
      <c r="C45" s="2"/>
      <c r="D45" s="2"/>
      <c r="E45" s="2"/>
      <c r="F45" s="14"/>
      <c r="G45" s="14"/>
      <c r="H45" s="14"/>
      <c r="I45" s="14"/>
    </row>
    <row r="46" spans="1:9" ht="14.25">
      <c r="A46" s="615" t="str">
        <f>O34</f>
        <v>Нина Богданова</v>
      </c>
      <c r="B46" s="615"/>
      <c r="C46" s="615"/>
      <c r="D46" s="615"/>
      <c r="E46" s="2"/>
      <c r="F46" s="615" t="str">
        <f>O36</f>
        <v>Петя Евтимова</v>
      </c>
      <c r="G46" s="615"/>
      <c r="H46" s="615"/>
      <c r="I46" s="615"/>
    </row>
    <row r="47" spans="1:9" ht="14.25">
      <c r="A47" s="615"/>
      <c r="B47" s="615"/>
      <c r="C47" s="615"/>
      <c r="D47" s="615"/>
      <c r="E47" s="2"/>
      <c r="F47" s="13"/>
      <c r="G47" s="13"/>
      <c r="H47" s="13"/>
      <c r="I47" s="13"/>
    </row>
    <row r="48" spans="1:9" ht="14.25">
      <c r="A48" s="13"/>
      <c r="B48" s="13"/>
      <c r="C48" s="13"/>
      <c r="D48" s="13"/>
      <c r="E48" s="2"/>
      <c r="F48" s="13"/>
      <c r="G48" s="13"/>
      <c r="H48" s="13"/>
      <c r="I48" s="13"/>
    </row>
    <row r="49" spans="1:9" ht="14.25">
      <c r="A49" s="615"/>
      <c r="B49" s="615"/>
      <c r="C49" s="615"/>
      <c r="D49" s="615"/>
      <c r="E49" s="2"/>
      <c r="F49" s="615"/>
      <c r="G49" s="615"/>
      <c r="H49" s="615"/>
      <c r="I49" s="615"/>
    </row>
    <row r="50" spans="1:9" ht="14.25">
      <c r="A50" s="15"/>
      <c r="B50" s="15"/>
      <c r="C50" s="15"/>
      <c r="D50" s="615" t="s">
        <v>52</v>
      </c>
      <c r="E50" s="615"/>
      <c r="F50" s="615"/>
      <c r="G50" s="15"/>
      <c r="H50" s="15"/>
      <c r="I50" s="15"/>
    </row>
    <row r="51" spans="1:9" ht="12.7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4.25">
      <c r="A52" s="13"/>
      <c r="B52" s="13"/>
      <c r="C52" s="615" t="s">
        <v>53</v>
      </c>
      <c r="D52" s="615"/>
      <c r="E52" s="615"/>
      <c r="F52" s="615"/>
      <c r="G52" s="615"/>
      <c r="H52" s="13"/>
      <c r="I52" s="13"/>
    </row>
    <row r="53" spans="1:9" ht="14.25">
      <c r="A53" s="16"/>
      <c r="B53" s="16"/>
      <c r="C53" s="16"/>
      <c r="D53" s="17"/>
      <c r="E53" s="17"/>
      <c r="F53" s="17"/>
      <c r="G53" s="16"/>
      <c r="H53" s="16"/>
      <c r="I53" s="16"/>
    </row>
    <row r="54" spans="1:9" ht="12.7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4.25">
      <c r="A56" s="14"/>
      <c r="B56" s="14"/>
      <c r="C56" s="616"/>
      <c r="D56" s="616"/>
      <c r="E56" s="616"/>
      <c r="F56" s="616"/>
      <c r="G56" s="616"/>
      <c r="H56" s="14"/>
      <c r="I56" s="14"/>
    </row>
    <row r="57" spans="1:9" ht="12.75" customHeight="1">
      <c r="A57" s="14"/>
      <c r="B57" s="14"/>
      <c r="C57" s="617"/>
      <c r="D57" s="617"/>
      <c r="E57" s="617"/>
      <c r="F57" s="617"/>
      <c r="G57" s="617"/>
      <c r="H57" s="14"/>
      <c r="I57" s="14"/>
    </row>
    <row r="58" spans="1:9" ht="14.25">
      <c r="A58" s="2"/>
      <c r="B58" s="2"/>
      <c r="C58" s="614" t="str">
        <f>CONCATENATE(O21,", ",DAY(O30)," ",CHOOSE(AL1,AI1,AI2,AI3,AI4,AI5,AI6,AI7,AI8,AI9,AI10,AI11,AI12)," ",YEAR(O30)," г.")</f>
        <v>БУРГАС, 30 ноември 2010 г.</v>
      </c>
      <c r="D58" s="614"/>
      <c r="E58" s="614"/>
      <c r="F58" s="614"/>
      <c r="G58" s="614"/>
      <c r="H58" s="2"/>
      <c r="I58" s="2"/>
    </row>
  </sheetData>
  <mergeCells count="48">
    <mergeCell ref="L1:R1"/>
    <mergeCell ref="AD1:AE1"/>
    <mergeCell ref="AF1:AG1"/>
    <mergeCell ref="AI1:AJ1"/>
    <mergeCell ref="AA2:AB2"/>
    <mergeCell ref="AI2:AJ2"/>
    <mergeCell ref="B3:H8"/>
    <mergeCell ref="AI3:AJ3"/>
    <mergeCell ref="AA4:AC4"/>
    <mergeCell ref="AI4:AJ4"/>
    <mergeCell ref="AA5:AC5"/>
    <mergeCell ref="AI5:AJ5"/>
    <mergeCell ref="AA6:AC6"/>
    <mergeCell ref="AI6:AJ6"/>
    <mergeCell ref="AA7:AC7"/>
    <mergeCell ref="AI7:AJ7"/>
    <mergeCell ref="AI8:AJ8"/>
    <mergeCell ref="AI9:AJ9"/>
    <mergeCell ref="AI10:AJ10"/>
    <mergeCell ref="AI11:AJ11"/>
    <mergeCell ref="AI12:AJ12"/>
    <mergeCell ref="AI13:AJ13"/>
    <mergeCell ref="AI14:AJ14"/>
    <mergeCell ref="AI15:AJ15"/>
    <mergeCell ref="AI16:AJ16"/>
    <mergeCell ref="AI17:AJ17"/>
    <mergeCell ref="L19:Q19"/>
    <mergeCell ref="O21:Q21"/>
    <mergeCell ref="A23:I24"/>
    <mergeCell ref="C25:G26"/>
    <mergeCell ref="O28:P28"/>
    <mergeCell ref="B29:H30"/>
    <mergeCell ref="O30:P30"/>
    <mergeCell ref="O34:Q34"/>
    <mergeCell ref="O36:Q36"/>
    <mergeCell ref="O38:Q38"/>
    <mergeCell ref="A44:D44"/>
    <mergeCell ref="F44:I44"/>
    <mergeCell ref="A46:D46"/>
    <mergeCell ref="F46:I46"/>
    <mergeCell ref="A47:D47"/>
    <mergeCell ref="A49:D49"/>
    <mergeCell ref="F49:I49"/>
    <mergeCell ref="C58:G58"/>
    <mergeCell ref="D50:F50"/>
    <mergeCell ref="C52:G52"/>
    <mergeCell ref="C56:G56"/>
    <mergeCell ref="C57:G57"/>
  </mergeCells>
  <printOptions horizontalCentered="1"/>
  <pageMargins left="0.7479166666666667" right="0.7479166666666667" top="0.39375" bottom="0.39375" header="0.5118055555555556" footer="0.5118055555555556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5"/>
  <sheetViews>
    <sheetView workbookViewId="0" topLeftCell="A1">
      <selection activeCell="B1" sqref="B1:E1"/>
    </sheetView>
  </sheetViews>
  <sheetFormatPr defaultColWidth="9.140625" defaultRowHeight="12.75"/>
  <cols>
    <col min="1" max="1" width="5.7109375" style="420" customWidth="1"/>
    <col min="2" max="3" width="20.140625" style="420" customWidth="1"/>
    <col min="4" max="5" width="12.140625" style="420" customWidth="1"/>
    <col min="6" max="16384" width="9.140625" style="420" customWidth="1"/>
  </cols>
  <sheetData>
    <row r="1" spans="2:5" ht="14.25">
      <c r="B1" s="675" t="s">
        <v>368</v>
      </c>
      <c r="C1" s="675"/>
      <c r="D1" s="675"/>
      <c r="E1" s="675"/>
    </row>
    <row r="2" spans="2:5" ht="12.75">
      <c r="B2" s="674" t="s">
        <v>281</v>
      </c>
      <c r="C2" s="674"/>
      <c r="D2" s="439">
        <f>НАЧАЛО!AA2</f>
        <v>40451</v>
      </c>
      <c r="E2" s="440" t="str">
        <f>CONCATENATE("31.12.",YEAR(D2)-1," г.")</f>
        <v>31.12.2009 г.</v>
      </c>
    </row>
    <row r="3" spans="2:11" ht="12.75">
      <c r="B3" s="711" t="s">
        <v>369</v>
      </c>
      <c r="C3" s="711"/>
      <c r="D3" s="443"/>
      <c r="E3" s="443">
        <v>11</v>
      </c>
      <c r="G3" s="681" t="str">
        <f>IF(AND(J4="",J6=""),"","Разлика между БАЛАНСА и ПРИЛОЖЕНИЕТО!")</f>
        <v>Разлика между БАЛАНСА и ПРИЛОЖЕНИЕТО!</v>
      </c>
      <c r="H3" s="681"/>
      <c r="I3" s="681"/>
      <c r="J3" s="681"/>
      <c r="K3" s="681"/>
    </row>
    <row r="4" spans="2:11" ht="12.75">
      <c r="B4" s="711" t="s">
        <v>370</v>
      </c>
      <c r="C4" s="711"/>
      <c r="D4" s="443">
        <v>0</v>
      </c>
      <c r="E4" s="443"/>
      <c r="G4" s="680" t="str">
        <f>IF(J4="","","Разлика текущ период:")</f>
        <v>Разлика текущ период:</v>
      </c>
      <c r="H4" s="680"/>
      <c r="I4" s="680"/>
      <c r="J4" s="405">
        <f>IF(D7=баланс!E34,"",D7-баланс!E34)</f>
        <v>-1</v>
      </c>
      <c r="K4" s="406"/>
    </row>
    <row r="5" spans="2:11" ht="12.75">
      <c r="B5" s="711" t="s">
        <v>371</v>
      </c>
      <c r="C5" s="711"/>
      <c r="D5" s="443"/>
      <c r="E5" s="443">
        <v>6</v>
      </c>
      <c r="G5" s="678" t="str">
        <f>IF(J4="","","Сума по баланс:")</f>
        <v>Сума по баланс:</v>
      </c>
      <c r="H5" s="678"/>
      <c r="I5" s="678"/>
      <c r="J5" s="407">
        <f>IF(J4="","",баланс!E34)</f>
        <v>1</v>
      </c>
      <c r="K5" s="406"/>
    </row>
    <row r="6" spans="2:11" ht="12.75">
      <c r="B6" s="711" t="s">
        <v>372</v>
      </c>
      <c r="C6" s="711"/>
      <c r="D6" s="443"/>
      <c r="E6" s="443"/>
      <c r="G6" s="680" t="str">
        <f>IF(J6="","","Разлика предходен период:")</f>
        <v>Разлика предходен период:</v>
      </c>
      <c r="H6" s="680"/>
      <c r="I6" s="680"/>
      <c r="J6" s="405">
        <f>IF(E7=баланс!G34,"",E7-баланс!G34)</f>
        <v>17</v>
      </c>
      <c r="K6" s="406"/>
    </row>
    <row r="7" spans="2:11" ht="12.75">
      <c r="B7" s="666" t="s">
        <v>231</v>
      </c>
      <c r="C7" s="666"/>
      <c r="D7" s="437">
        <f>SUM(D3:D6)</f>
        <v>0</v>
      </c>
      <c r="E7" s="437">
        <f>SUM(E3:E6)</f>
        <v>17</v>
      </c>
      <c r="G7" s="678" t="str">
        <f>IF(J6="","","Сума по баланс:")</f>
        <v>Сума по баланс:</v>
      </c>
      <c r="H7" s="678"/>
      <c r="I7" s="678"/>
      <c r="J7" s="407">
        <f>IF(J6="","",баланс!G34)</f>
        <v>0</v>
      </c>
      <c r="K7" s="406"/>
    </row>
    <row r="8" spans="2:5" ht="14.25">
      <c r="B8" s="675" t="s">
        <v>161</v>
      </c>
      <c r="C8" s="675"/>
      <c r="D8" s="675"/>
      <c r="E8" s="675"/>
    </row>
    <row r="9" spans="2:5" ht="12.75">
      <c r="B9" s="674" t="s">
        <v>281</v>
      </c>
      <c r="C9" s="674"/>
      <c r="D9" s="439">
        <f>D2</f>
        <v>40451</v>
      </c>
      <c r="E9" s="440" t="str">
        <f>CONCATENATE("31.12.",YEAR(D9)-1," г.")</f>
        <v>31.12.2009 г.</v>
      </c>
    </row>
    <row r="10" spans="2:5" ht="12.75">
      <c r="B10" s="711" t="s">
        <v>369</v>
      </c>
      <c r="C10" s="711"/>
      <c r="D10" s="443">
        <v>381</v>
      </c>
      <c r="E10" s="443">
        <v>457</v>
      </c>
    </row>
    <row r="11" spans="2:11" ht="12.75">
      <c r="B11" s="711" t="s">
        <v>370</v>
      </c>
      <c r="C11" s="711"/>
      <c r="D11" s="443">
        <v>1254</v>
      </c>
      <c r="E11" s="443">
        <v>1052</v>
      </c>
      <c r="G11" s="681" t="str">
        <f>IF(AND(J12="",J14=""),"","Разлика между БАЛАНСА и ПРИЛОЖЕНИЕТО!")</f>
        <v>Разлика между БАЛАНСА и ПРИЛОЖЕНИЕТО!</v>
      </c>
      <c r="H11" s="681"/>
      <c r="I11" s="681"/>
      <c r="J11" s="681"/>
      <c r="K11" s="681"/>
    </row>
    <row r="12" spans="2:11" ht="12.75">
      <c r="B12" s="711" t="s">
        <v>373</v>
      </c>
      <c r="C12" s="711"/>
      <c r="D12" s="443">
        <v>26</v>
      </c>
      <c r="E12" s="443"/>
      <c r="G12" s="680" t="str">
        <f>IF(J12="","","Разлика текущ период:")</f>
        <v>Разлика текущ период:</v>
      </c>
      <c r="H12" s="680"/>
      <c r="I12" s="680"/>
      <c r="J12" s="405">
        <f>IF(D15=баланс!E88,"",D15-баланс!E88)</f>
        <v>1462</v>
      </c>
      <c r="K12" s="406"/>
    </row>
    <row r="13" spans="2:11" ht="12.75">
      <c r="B13" s="711" t="s">
        <v>371</v>
      </c>
      <c r="C13" s="711"/>
      <c r="D13" s="443"/>
      <c r="E13" s="443"/>
      <c r="G13" s="678" t="str">
        <f>IF(J12="","","Сума по баланс:")</f>
        <v>Сума по баланс:</v>
      </c>
      <c r="H13" s="678"/>
      <c r="I13" s="678"/>
      <c r="J13" s="407">
        <f>IF(J12="","",баланс!E88)</f>
        <v>199</v>
      </c>
      <c r="K13" s="406"/>
    </row>
    <row r="14" spans="2:11" ht="12.75">
      <c r="B14" s="711" t="s">
        <v>372</v>
      </c>
      <c r="C14" s="711"/>
      <c r="D14" s="443"/>
      <c r="E14" s="443"/>
      <c r="G14" s="680" t="str">
        <f>IF(J14="","","Разлика предходен период:")</f>
        <v>Разлика предходен период:</v>
      </c>
      <c r="H14" s="680"/>
      <c r="I14" s="680"/>
      <c r="J14" s="405">
        <f>IF(E15=баланс!G88,"",E15-баланс!G88)</f>
        <v>1423</v>
      </c>
      <c r="K14" s="406"/>
    </row>
    <row r="15" spans="2:11" ht="12.75">
      <c r="B15" s="666" t="s">
        <v>231</v>
      </c>
      <c r="C15" s="666"/>
      <c r="D15" s="437">
        <f>SUM(D10:D14)</f>
        <v>1661</v>
      </c>
      <c r="E15" s="437">
        <f>SUM(E10:E14)</f>
        <v>1509</v>
      </c>
      <c r="G15" s="678" t="str">
        <f>IF(J14="","","Сума по баланс:")</f>
        <v>Сума по баланс:</v>
      </c>
      <c r="H15" s="678"/>
      <c r="I15" s="678"/>
      <c r="J15" s="407">
        <f>IF(J14="","",баланс!G88)</f>
        <v>86</v>
      </c>
      <c r="K15" s="406"/>
    </row>
  </sheetData>
  <mergeCells count="25">
    <mergeCell ref="B1:E1"/>
    <mergeCell ref="B2:C2"/>
    <mergeCell ref="B3:C3"/>
    <mergeCell ref="G3:K3"/>
    <mergeCell ref="B4:C4"/>
    <mergeCell ref="G4:I4"/>
    <mergeCell ref="B5:C5"/>
    <mergeCell ref="G5:I5"/>
    <mergeCell ref="B6:C6"/>
    <mergeCell ref="G6:I6"/>
    <mergeCell ref="B7:C7"/>
    <mergeCell ref="G7:I7"/>
    <mergeCell ref="B8:E8"/>
    <mergeCell ref="B9:C9"/>
    <mergeCell ref="B10:C10"/>
    <mergeCell ref="B11:C11"/>
    <mergeCell ref="G11:K11"/>
    <mergeCell ref="B12:C12"/>
    <mergeCell ref="G12:I12"/>
    <mergeCell ref="B13:C13"/>
    <mergeCell ref="G13:I13"/>
    <mergeCell ref="B14:C14"/>
    <mergeCell ref="G14:I14"/>
    <mergeCell ref="B15:C15"/>
    <mergeCell ref="G15:I1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24"/>
  <sheetViews>
    <sheetView workbookViewId="0" topLeftCell="A1">
      <selection activeCell="G22" sqref="G22:I22"/>
    </sheetView>
  </sheetViews>
  <sheetFormatPr defaultColWidth="9.140625" defaultRowHeight="12.75"/>
  <cols>
    <col min="1" max="1" width="5.00390625" style="1" customWidth="1"/>
    <col min="2" max="2" width="14.57421875" style="1" customWidth="1"/>
    <col min="3" max="3" width="17.421875" style="1" customWidth="1"/>
    <col min="4" max="5" width="12.140625" style="1" customWidth="1"/>
    <col min="6" max="16384" width="9.140625" style="1" customWidth="1"/>
  </cols>
  <sheetData>
    <row r="1" spans="2:5" ht="14.25">
      <c r="B1" s="705" t="s">
        <v>118</v>
      </c>
      <c r="C1" s="705"/>
      <c r="D1" s="705"/>
      <c r="E1" s="705"/>
    </row>
    <row r="2" spans="2:5" ht="12.75">
      <c r="B2" s="699" t="s">
        <v>281</v>
      </c>
      <c r="C2" s="699"/>
      <c r="D2" s="410">
        <f>НАЧАЛО!AA2</f>
        <v>40451</v>
      </c>
      <c r="E2" s="444" t="str">
        <f>CONCATENATE("31.12.",YEAR(D2)-1," г.")</f>
        <v>31.12.2009 г.</v>
      </c>
    </row>
    <row r="3" spans="2:5" ht="12.75">
      <c r="B3" s="715" t="s">
        <v>374</v>
      </c>
      <c r="C3" s="715"/>
      <c r="D3" s="445">
        <f>SUM(D4:D14)</f>
        <v>2230</v>
      </c>
      <c r="E3" s="445">
        <f>SUM(E4:E14)</f>
        <v>1764</v>
      </c>
    </row>
    <row r="4" spans="2:5" ht="12.75">
      <c r="B4" s="714" t="s">
        <v>375</v>
      </c>
      <c r="C4" s="714"/>
      <c r="D4" s="446">
        <v>1716</v>
      </c>
      <c r="E4" s="446">
        <v>1375</v>
      </c>
    </row>
    <row r="5" spans="2:5" ht="12.75">
      <c r="B5" s="714" t="s">
        <v>376</v>
      </c>
      <c r="C5" s="714"/>
      <c r="D5" s="446">
        <v>19</v>
      </c>
      <c r="E5" s="446">
        <v>15</v>
      </c>
    </row>
    <row r="6" spans="2:5" ht="12.75">
      <c r="B6" s="714" t="s">
        <v>377</v>
      </c>
      <c r="C6" s="714"/>
      <c r="D6" s="446">
        <v>118</v>
      </c>
      <c r="E6" s="446">
        <v>20</v>
      </c>
    </row>
    <row r="7" spans="2:5" ht="12.75">
      <c r="B7" s="714" t="s">
        <v>378</v>
      </c>
      <c r="C7" s="714"/>
      <c r="D7" s="446"/>
      <c r="E7" s="446"/>
    </row>
    <row r="8" spans="2:5" ht="12.75">
      <c r="B8" s="447" t="s">
        <v>379</v>
      </c>
      <c r="C8" s="448"/>
      <c r="D8" s="446"/>
      <c r="E8" s="446"/>
    </row>
    <row r="9" spans="2:5" ht="12.75">
      <c r="B9" s="714" t="s">
        <v>380</v>
      </c>
      <c r="C9" s="714"/>
      <c r="D9" s="446"/>
      <c r="E9" s="446"/>
    </row>
    <row r="10" spans="2:5" ht="12.75">
      <c r="B10" s="714" t="s">
        <v>381</v>
      </c>
      <c r="C10" s="714"/>
      <c r="D10" s="446">
        <v>377</v>
      </c>
      <c r="E10" s="446">
        <v>354</v>
      </c>
    </row>
    <row r="11" spans="2:5" ht="12.75">
      <c r="B11" s="714" t="s">
        <v>382</v>
      </c>
      <c r="C11" s="714"/>
      <c r="D11" s="446"/>
      <c r="E11" s="446"/>
    </row>
    <row r="12" spans="2:5" ht="12.75">
      <c r="B12" s="714" t="s">
        <v>383</v>
      </c>
      <c r="C12" s="714"/>
      <c r="D12" s="446"/>
      <c r="E12" s="446"/>
    </row>
    <row r="13" spans="2:5" ht="12.75">
      <c r="B13" s="714" t="s">
        <v>383</v>
      </c>
      <c r="C13" s="714"/>
      <c r="D13" s="446"/>
      <c r="E13" s="446"/>
    </row>
    <row r="14" spans="2:5" ht="12.75">
      <c r="B14" s="714" t="s">
        <v>384</v>
      </c>
      <c r="C14" s="714"/>
      <c r="D14" s="323"/>
      <c r="E14" s="323"/>
    </row>
    <row r="15" spans="2:5" ht="12.75">
      <c r="B15" s="715" t="s">
        <v>385</v>
      </c>
      <c r="C15" s="715"/>
      <c r="D15" s="445">
        <f>SUM(D16:D17)</f>
        <v>0</v>
      </c>
      <c r="E15" s="445">
        <f>SUM(E16:E17)</f>
        <v>0</v>
      </c>
    </row>
    <row r="16" spans="2:5" ht="12.75">
      <c r="B16" s="714" t="s">
        <v>61</v>
      </c>
      <c r="C16" s="714"/>
      <c r="D16" s="446"/>
      <c r="E16" s="446"/>
    </row>
    <row r="17" spans="2:5" ht="12.75">
      <c r="B17" s="714" t="s">
        <v>386</v>
      </c>
      <c r="C17" s="714"/>
      <c r="D17" s="323"/>
      <c r="E17" s="323"/>
    </row>
    <row r="18" spans="2:5" ht="12.75">
      <c r="B18" s="715" t="s">
        <v>387</v>
      </c>
      <c r="C18" s="715"/>
      <c r="D18" s="445">
        <f>SUM(D19:D20)</f>
        <v>0</v>
      </c>
      <c r="E18" s="445">
        <f>SUM(E19:E20)</f>
        <v>0</v>
      </c>
    </row>
    <row r="19" spans="2:5" ht="12.75">
      <c r="B19" s="714" t="s">
        <v>59</v>
      </c>
      <c r="C19" s="714"/>
      <c r="D19" s="446"/>
      <c r="E19" s="446"/>
    </row>
    <row r="20" spans="2:11" ht="12.75">
      <c r="B20" s="714" t="s">
        <v>388</v>
      </c>
      <c r="C20" s="714"/>
      <c r="D20" s="445"/>
      <c r="E20" s="445"/>
      <c r="G20" s="681" t="str">
        <f>IF(AND(J21="",J23=""),"","Разлика между БАЛАНСА и ПРИЛОЖЕНИЕТО!")</f>
        <v>Разлика между БАЛАНСА и ПРИЛОЖЕНИЕТО!</v>
      </c>
      <c r="H20" s="681"/>
      <c r="I20" s="681"/>
      <c r="J20" s="681"/>
      <c r="K20" s="681"/>
    </row>
    <row r="21" spans="2:11" ht="12.75">
      <c r="B21" s="715" t="s">
        <v>389</v>
      </c>
      <c r="C21" s="715"/>
      <c r="D21" s="445">
        <f>SUM(D22:D23)</f>
        <v>1146</v>
      </c>
      <c r="E21" s="445">
        <f>SUM(E22:E23)</f>
        <v>537</v>
      </c>
      <c r="G21" s="680" t="str">
        <f>IF(J21="","","Разлика текущ период:")</f>
        <v>Разлика текущ период:</v>
      </c>
      <c r="H21" s="680"/>
      <c r="I21" s="680"/>
      <c r="J21" s="405">
        <f>IF(D24=баланс!E29,"",D24-баланс!E29)</f>
        <v>-4196</v>
      </c>
      <c r="K21" s="406"/>
    </row>
    <row r="22" spans="2:11" ht="12.75">
      <c r="B22" s="714" t="s">
        <v>382</v>
      </c>
      <c r="C22" s="714"/>
      <c r="D22" s="446">
        <v>1146</v>
      </c>
      <c r="E22" s="446">
        <v>537</v>
      </c>
      <c r="G22" s="678" t="str">
        <f>IF(J21="","","Сума по баланс:")</f>
        <v>Сума по баланс:</v>
      </c>
      <c r="H22" s="678"/>
      <c r="I22" s="678"/>
      <c r="J22" s="407">
        <f>IF(J21="","",баланс!E29)</f>
        <v>7572</v>
      </c>
      <c r="K22" s="406"/>
    </row>
    <row r="23" spans="2:11" ht="12.75">
      <c r="B23" s="714" t="s">
        <v>390</v>
      </c>
      <c r="C23" s="714"/>
      <c r="D23" s="445"/>
      <c r="E23" s="445"/>
      <c r="G23" s="680" t="str">
        <f>IF(J23="","","Разлика предходен период:")</f>
        <v>Разлика предходен период:</v>
      </c>
      <c r="H23" s="680"/>
      <c r="I23" s="680"/>
      <c r="J23" s="405">
        <f>IF(E24=баланс!G29,"",E24-баланс!G29)</f>
        <v>-4325</v>
      </c>
      <c r="K23" s="406"/>
    </row>
    <row r="24" spans="2:11" ht="12.75">
      <c r="B24" s="688" t="s">
        <v>231</v>
      </c>
      <c r="C24" s="688"/>
      <c r="D24" s="449">
        <f>D3+D15+D18+D21</f>
        <v>3376</v>
      </c>
      <c r="E24" s="449">
        <f>E3+E15+E18+E21</f>
        <v>2301</v>
      </c>
      <c r="G24" s="678" t="str">
        <f>IF(J23="","","Сума по баланс:")</f>
        <v>Сума по баланс:</v>
      </c>
      <c r="H24" s="678"/>
      <c r="I24" s="678"/>
      <c r="J24" s="407">
        <f>IF(J23="","",баланс!G29)</f>
        <v>6626</v>
      </c>
      <c r="K24" s="406"/>
    </row>
  </sheetData>
  <mergeCells count="28">
    <mergeCell ref="B1:E1"/>
    <mergeCell ref="B2:C2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G20:K20"/>
    <mergeCell ref="B21:C21"/>
    <mergeCell ref="G21:I21"/>
    <mergeCell ref="B22:C22"/>
    <mergeCell ref="G22:I22"/>
    <mergeCell ref="B23:C23"/>
    <mergeCell ref="G23:I23"/>
    <mergeCell ref="B24:C24"/>
    <mergeCell ref="G24:I24"/>
  </mergeCells>
  <dataValidations count="1">
    <dataValidation allowBlank="1" showInputMessage="1" showErrorMessage="1" promptTitle="&quot;Биекс Одит&quot; ООД:" prompt="Въведи числото със знак минус &quot;-&quot;!&#10;" sqref="D14:E14 D17:E17">
      <formula1>0</formula1>
      <formula2>0</formula2>
    </dataValidation>
  </dataValidation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12"/>
  <sheetViews>
    <sheetView workbookViewId="0" topLeftCell="A1">
      <selection activeCell="D5" sqref="D5"/>
    </sheetView>
  </sheetViews>
  <sheetFormatPr defaultColWidth="9.140625" defaultRowHeight="12.75"/>
  <cols>
    <col min="1" max="1" width="5.00390625" style="1" customWidth="1"/>
    <col min="2" max="2" width="14.57421875" style="1" customWidth="1"/>
    <col min="3" max="3" width="25.7109375" style="1" customWidth="1"/>
    <col min="4" max="5" width="12.140625" style="1" customWidth="1"/>
    <col min="6" max="16384" width="9.140625" style="1" customWidth="1"/>
  </cols>
  <sheetData>
    <row r="1" spans="2:5" ht="14.25">
      <c r="B1" s="705" t="s">
        <v>126</v>
      </c>
      <c r="C1" s="705"/>
      <c r="D1" s="705"/>
      <c r="E1" s="705"/>
    </row>
    <row r="2" spans="2:5" ht="12.75">
      <c r="B2" s="699" t="s">
        <v>281</v>
      </c>
      <c r="C2" s="699"/>
      <c r="D2" s="410">
        <f>НАЧАЛО!AA2</f>
        <v>40451</v>
      </c>
      <c r="E2" s="411" t="str">
        <f>CONCATENATE("31.12.",YEAR(D2)-1," г.")</f>
        <v>31.12.2009 г.</v>
      </c>
    </row>
    <row r="3" spans="2:5" ht="12.75">
      <c r="B3" s="715" t="s">
        <v>391</v>
      </c>
      <c r="C3" s="715"/>
      <c r="D3" s="445">
        <f>SUM(D4:D5)</f>
        <v>903</v>
      </c>
      <c r="E3" s="445">
        <v>377</v>
      </c>
    </row>
    <row r="4" spans="2:5" ht="12.75">
      <c r="B4" s="714" t="s">
        <v>392</v>
      </c>
      <c r="C4" s="714"/>
      <c r="D4" s="446">
        <v>609</v>
      </c>
      <c r="E4" s="446">
        <v>83</v>
      </c>
    </row>
    <row r="5" spans="2:5" ht="12.75">
      <c r="B5" s="714" t="s">
        <v>393</v>
      </c>
      <c r="C5" s="714"/>
      <c r="D5" s="446">
        <v>294</v>
      </c>
      <c r="E5" s="446">
        <v>294</v>
      </c>
    </row>
    <row r="6" spans="2:5" ht="12.75">
      <c r="B6" s="715" t="s">
        <v>394</v>
      </c>
      <c r="C6" s="715"/>
      <c r="D6" s="445">
        <f>SUM(D7:D8)</f>
        <v>6771</v>
      </c>
      <c r="E6" s="445">
        <v>590</v>
      </c>
    </row>
    <row r="7" spans="2:5" ht="12.75">
      <c r="B7" s="714" t="s">
        <v>392</v>
      </c>
      <c r="C7" s="714"/>
      <c r="D7" s="446">
        <v>6760</v>
      </c>
      <c r="E7" s="446">
        <v>558</v>
      </c>
    </row>
    <row r="8" spans="2:11" ht="12.75">
      <c r="B8" s="714" t="s">
        <v>393</v>
      </c>
      <c r="C8" s="714"/>
      <c r="D8" s="446">
        <v>11</v>
      </c>
      <c r="E8" s="446">
        <v>32</v>
      </c>
      <c r="G8" s="681" t="str">
        <f>IF(AND(J9="",J11=""),"","Разлика между БАЛАНСА и ПРИЛОЖЕНИЕТО!")</f>
        <v>Разлика между БАЛАНСА и ПРИЛОЖЕНИЕТО!</v>
      </c>
      <c r="H8" s="681"/>
      <c r="I8" s="681"/>
      <c r="J8" s="681"/>
      <c r="K8" s="681"/>
    </row>
    <row r="9" spans="2:11" ht="12.75">
      <c r="B9" s="715" t="s">
        <v>395</v>
      </c>
      <c r="C9" s="715"/>
      <c r="D9" s="445">
        <v>7</v>
      </c>
      <c r="E9" s="445">
        <v>7</v>
      </c>
      <c r="G9" s="680" t="str">
        <f>IF(J9="","","Разлика текущ период:")</f>
        <v>Разлика текущ период:</v>
      </c>
      <c r="H9" s="680"/>
      <c r="I9" s="680"/>
      <c r="J9" s="405">
        <f>IF(D12=баланс!E38,"",D12-баланс!E38)</f>
        <v>6696</v>
      </c>
      <c r="K9" s="406"/>
    </row>
    <row r="10" spans="2:11" ht="12.75">
      <c r="B10" s="715" t="s">
        <v>396</v>
      </c>
      <c r="C10" s="715"/>
      <c r="D10" s="445"/>
      <c r="E10" s="445"/>
      <c r="G10" s="678" t="str">
        <f>IF(J9="","","Сума по баланс:")</f>
        <v>Сума по баланс:</v>
      </c>
      <c r="H10" s="678"/>
      <c r="I10" s="678"/>
      <c r="J10" s="407">
        <f>IF(J9="","",баланс!E38)</f>
        <v>985</v>
      </c>
      <c r="K10" s="406"/>
    </row>
    <row r="11" spans="2:11" ht="12.75">
      <c r="B11" s="715" t="s">
        <v>397</v>
      </c>
      <c r="C11" s="715"/>
      <c r="D11" s="445"/>
      <c r="E11" s="445"/>
      <c r="G11" s="680" t="str">
        <f>IF(J11="","","Разлика предходен период:")</f>
        <v>Разлика предходен период:</v>
      </c>
      <c r="H11" s="680"/>
      <c r="I11" s="680"/>
      <c r="J11" s="405">
        <f>IF(E12=баланс!G38,"",E12-баланс!G38)</f>
        <v>-673</v>
      </c>
      <c r="K11" s="406"/>
    </row>
    <row r="12" spans="2:11" ht="12.75">
      <c r="B12" s="688" t="s">
        <v>231</v>
      </c>
      <c r="C12" s="688"/>
      <c r="D12" s="449">
        <f>D3+D6+D9+D10+D11</f>
        <v>7681</v>
      </c>
      <c r="E12" s="449">
        <f>E3+E6+E9+E10+E11</f>
        <v>974</v>
      </c>
      <c r="G12" s="678" t="str">
        <f>IF(J11="","","Сума по баланс:")</f>
        <v>Сума по баланс:</v>
      </c>
      <c r="H12" s="678"/>
      <c r="I12" s="678"/>
      <c r="J12" s="407">
        <f>IF(J11="","",баланс!G38)</f>
        <v>1647</v>
      </c>
      <c r="K12" s="406"/>
    </row>
  </sheetData>
  <mergeCells count="17">
    <mergeCell ref="B1:E1"/>
    <mergeCell ref="B2:C2"/>
    <mergeCell ref="B3:C3"/>
    <mergeCell ref="B4:C4"/>
    <mergeCell ref="B5:C5"/>
    <mergeCell ref="B6:C6"/>
    <mergeCell ref="B7:C7"/>
    <mergeCell ref="B8:C8"/>
    <mergeCell ref="G8:K8"/>
    <mergeCell ref="B9:C9"/>
    <mergeCell ref="G9:I9"/>
    <mergeCell ref="B10:C10"/>
    <mergeCell ref="G10:I10"/>
    <mergeCell ref="B11:C11"/>
    <mergeCell ref="G11:I11"/>
    <mergeCell ref="B12:C12"/>
    <mergeCell ref="G12:I1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34"/>
  <sheetViews>
    <sheetView workbookViewId="0" topLeftCell="A7">
      <selection activeCell="J21" sqref="J21"/>
    </sheetView>
  </sheetViews>
  <sheetFormatPr defaultColWidth="9.140625" defaultRowHeight="12.75"/>
  <cols>
    <col min="1" max="1" width="4.421875" style="1" customWidth="1"/>
    <col min="2" max="2" width="19.8515625" style="1" customWidth="1"/>
    <col min="3" max="3" width="10.8515625" style="1" customWidth="1"/>
    <col min="4" max="5" width="8.140625" style="1" customWidth="1"/>
    <col min="6" max="6" width="9.00390625" style="1" customWidth="1"/>
    <col min="7" max="7" width="11.00390625" style="1" customWidth="1"/>
    <col min="8" max="10" width="8.140625" style="1" customWidth="1"/>
    <col min="11" max="11" width="5.8515625" style="1" customWidth="1"/>
    <col min="12" max="13" width="8.140625" style="1" customWidth="1"/>
    <col min="14" max="16384" width="9.140625" style="1" customWidth="1"/>
  </cols>
  <sheetData>
    <row r="1" spans="2:11" ht="14.25">
      <c r="B1" s="705" t="s">
        <v>398</v>
      </c>
      <c r="C1" s="705"/>
      <c r="D1" s="705"/>
      <c r="E1" s="705"/>
      <c r="F1" s="705"/>
      <c r="G1" s="705"/>
      <c r="H1" s="705"/>
      <c r="I1" s="705"/>
      <c r="J1" s="705"/>
      <c r="K1" s="450" t="s">
        <v>399</v>
      </c>
    </row>
    <row r="2" spans="2:10" ht="12.75">
      <c r="B2" s="719" t="s">
        <v>400</v>
      </c>
      <c r="C2" s="720">
        <f>НАЧАЛО!AA2</f>
        <v>40451</v>
      </c>
      <c r="D2" s="720"/>
      <c r="E2" s="720"/>
      <c r="F2" s="720"/>
      <c r="G2" s="699" t="str">
        <f>CONCATENATE("31.12.",YEAR(C2)-1," г.")</f>
        <v>31.12.2009 г.</v>
      </c>
      <c r="H2" s="699"/>
      <c r="I2" s="699"/>
      <c r="J2" s="699"/>
    </row>
    <row r="3" spans="2:10" ht="12.75" customHeight="1">
      <c r="B3" s="719"/>
      <c r="C3" s="451" t="s">
        <v>401</v>
      </c>
      <c r="D3" s="699" t="s">
        <v>402</v>
      </c>
      <c r="E3" s="699"/>
      <c r="F3" s="452" t="s">
        <v>403</v>
      </c>
      <c r="G3" s="451" t="s">
        <v>401</v>
      </c>
      <c r="H3" s="699" t="s">
        <v>404</v>
      </c>
      <c r="I3" s="699"/>
      <c r="J3" s="411" t="s">
        <v>403</v>
      </c>
    </row>
    <row r="4" spans="2:10" ht="12.75" customHeight="1">
      <c r="B4" s="453" t="s">
        <v>405</v>
      </c>
      <c r="C4" s="454"/>
      <c r="D4" s="718"/>
      <c r="E4" s="718"/>
      <c r="F4" s="455"/>
      <c r="G4" s="446"/>
      <c r="H4" s="718"/>
      <c r="I4" s="718"/>
      <c r="J4" s="308"/>
    </row>
    <row r="5" spans="2:10" ht="12.75" customHeight="1">
      <c r="B5" s="456" t="s">
        <v>406</v>
      </c>
      <c r="C5" s="457">
        <v>87714</v>
      </c>
      <c r="D5" s="718">
        <v>87714</v>
      </c>
      <c r="E5" s="718"/>
      <c r="F5" s="455">
        <v>1</v>
      </c>
      <c r="G5" s="446">
        <v>87714</v>
      </c>
      <c r="H5" s="718">
        <v>87714</v>
      </c>
      <c r="I5" s="718"/>
      <c r="J5" s="308">
        <v>1</v>
      </c>
    </row>
    <row r="6" spans="2:10" ht="12.75" customHeight="1">
      <c r="B6" s="456" t="s">
        <v>407</v>
      </c>
      <c r="C6" s="457"/>
      <c r="D6" s="718"/>
      <c r="E6" s="718"/>
      <c r="F6" s="455"/>
      <c r="G6" s="457"/>
      <c r="H6" s="718"/>
      <c r="I6" s="718"/>
      <c r="J6" s="308"/>
    </row>
    <row r="7" spans="2:10" ht="12.75" customHeight="1">
      <c r="B7" s="456" t="s">
        <v>408</v>
      </c>
      <c r="C7" s="457"/>
      <c r="D7" s="718"/>
      <c r="E7" s="718"/>
      <c r="F7" s="455"/>
      <c r="G7" s="446"/>
      <c r="H7" s="718"/>
      <c r="I7" s="718"/>
      <c r="J7" s="308"/>
    </row>
    <row r="8" spans="2:10" ht="12.75" customHeight="1">
      <c r="B8" s="456" t="s">
        <v>137</v>
      </c>
      <c r="C8" s="457"/>
      <c r="D8" s="718"/>
      <c r="E8" s="718"/>
      <c r="F8" s="455"/>
      <c r="G8" s="446"/>
      <c r="H8" s="718"/>
      <c r="I8" s="718"/>
      <c r="J8" s="308"/>
    </row>
    <row r="9" spans="2:10" ht="12.75" customHeight="1">
      <c r="B9" s="456" t="s">
        <v>409</v>
      </c>
      <c r="C9" s="457"/>
      <c r="D9" s="718"/>
      <c r="E9" s="718"/>
      <c r="F9" s="455"/>
      <c r="G9" s="446"/>
      <c r="H9" s="718"/>
      <c r="I9" s="718"/>
      <c r="J9" s="308"/>
    </row>
    <row r="10" spans="2:10" ht="12.75" customHeight="1">
      <c r="B10" s="453" t="s">
        <v>410</v>
      </c>
      <c r="C10" s="454"/>
      <c r="D10" s="718"/>
      <c r="E10" s="718"/>
      <c r="F10" s="455"/>
      <c r="G10" s="446"/>
      <c r="H10" s="718"/>
      <c r="I10" s="718"/>
      <c r="J10" s="308"/>
    </row>
    <row r="11" spans="2:10" ht="12.75" customHeight="1">
      <c r="B11" s="456" t="s">
        <v>406</v>
      </c>
      <c r="C11" s="457"/>
      <c r="D11" s="718"/>
      <c r="E11" s="718"/>
      <c r="F11" s="455"/>
      <c r="G11" s="446"/>
      <c r="H11" s="718"/>
      <c r="I11" s="718"/>
      <c r="J11" s="308"/>
    </row>
    <row r="12" spans="2:10" ht="12.75" customHeight="1">
      <c r="B12" s="456" t="s">
        <v>407</v>
      </c>
      <c r="C12" s="457"/>
      <c r="D12" s="718"/>
      <c r="E12" s="718"/>
      <c r="F12" s="455"/>
      <c r="G12" s="446"/>
      <c r="H12" s="718"/>
      <c r="I12" s="718"/>
      <c r="J12" s="308"/>
    </row>
    <row r="13" spans="2:10" ht="12.75" customHeight="1">
      <c r="B13" s="456" t="s">
        <v>408</v>
      </c>
      <c r="C13" s="457"/>
      <c r="D13" s="718"/>
      <c r="E13" s="718"/>
      <c r="F13" s="455"/>
      <c r="G13" s="446"/>
      <c r="H13" s="718"/>
      <c r="I13" s="718"/>
      <c r="J13" s="308"/>
    </row>
    <row r="14" spans="2:10" ht="12.75" customHeight="1">
      <c r="B14" s="456" t="s">
        <v>137</v>
      </c>
      <c r="C14" s="457"/>
      <c r="D14" s="718"/>
      <c r="E14" s="718"/>
      <c r="F14" s="455"/>
      <c r="G14" s="446"/>
      <c r="H14" s="718"/>
      <c r="I14" s="718"/>
      <c r="J14" s="308"/>
    </row>
    <row r="15" spans="2:10" ht="12.75" customHeight="1">
      <c r="B15" s="456" t="s">
        <v>409</v>
      </c>
      <c r="C15" s="457"/>
      <c r="D15" s="718"/>
      <c r="E15" s="718"/>
      <c r="F15" s="455"/>
      <c r="G15" s="446"/>
      <c r="H15" s="718"/>
      <c r="I15" s="718"/>
      <c r="J15" s="308"/>
    </row>
    <row r="16" spans="2:10" ht="12.75">
      <c r="B16" s="408" t="s">
        <v>411</v>
      </c>
      <c r="C16" s="458">
        <f>SUM(C5:C9)+SUM(C11:C15)</f>
        <v>87714</v>
      </c>
      <c r="D16" s="717">
        <v>0</v>
      </c>
      <c r="E16" s="717"/>
      <c r="F16" s="458"/>
      <c r="G16" s="458">
        <f>SUM(G5:G9)+SUM(G11:G15)</f>
        <v>87714</v>
      </c>
      <c r="H16" s="717">
        <v>0</v>
      </c>
      <c r="I16" s="717"/>
      <c r="J16" s="459"/>
    </row>
    <row r="17" spans="2:10" ht="14.25">
      <c r="B17" s="705" t="s">
        <v>398</v>
      </c>
      <c r="C17" s="705"/>
      <c r="D17" s="705"/>
      <c r="E17" s="705"/>
      <c r="F17" s="705"/>
      <c r="G17" s="705"/>
      <c r="H17" s="705"/>
      <c r="I17" s="705"/>
      <c r="J17" s="705"/>
    </row>
    <row r="18" spans="2:10" ht="12.75">
      <c r="B18" s="704" t="s">
        <v>412</v>
      </c>
      <c r="C18" s="716">
        <f>C2</f>
        <v>40451</v>
      </c>
      <c r="D18" s="716"/>
      <c r="E18" s="716"/>
      <c r="F18" s="716"/>
      <c r="G18" s="716" t="str">
        <f>G2</f>
        <v>31.12.2009 г.</v>
      </c>
      <c r="H18" s="716"/>
      <c r="I18" s="716"/>
      <c r="J18" s="716"/>
    </row>
    <row r="19" spans="2:10" ht="12.75">
      <c r="B19" s="704"/>
      <c r="C19" s="460" t="s">
        <v>401</v>
      </c>
      <c r="D19" s="411" t="s">
        <v>402</v>
      </c>
      <c r="E19" s="411" t="s">
        <v>413</v>
      </c>
      <c r="F19" s="460" t="s">
        <v>414</v>
      </c>
      <c r="G19" s="460" t="s">
        <v>401</v>
      </c>
      <c r="H19" s="411" t="s">
        <v>402</v>
      </c>
      <c r="I19" s="411" t="s">
        <v>413</v>
      </c>
      <c r="J19" s="460" t="s">
        <v>414</v>
      </c>
    </row>
    <row r="20" spans="2:10" ht="26.25" customHeight="1">
      <c r="B20" s="456" t="s">
        <v>415</v>
      </c>
      <c r="C20" s="446">
        <v>87714</v>
      </c>
      <c r="D20" s="446">
        <v>87714</v>
      </c>
      <c r="E20" s="446">
        <v>87714</v>
      </c>
      <c r="F20" s="461">
        <v>1</v>
      </c>
      <c r="G20" s="446">
        <v>87714</v>
      </c>
      <c r="H20" s="446">
        <v>87714</v>
      </c>
      <c r="I20" s="446">
        <v>87714</v>
      </c>
      <c r="J20" s="461">
        <v>1</v>
      </c>
    </row>
    <row r="21" spans="2:10" ht="26.25" customHeight="1">
      <c r="B21" s="456" t="s">
        <v>98</v>
      </c>
      <c r="C21" s="446"/>
      <c r="D21" s="446"/>
      <c r="E21" s="446"/>
      <c r="F21" s="461"/>
      <c r="G21" s="446"/>
      <c r="H21" s="446"/>
      <c r="I21" s="446"/>
      <c r="J21" s="461"/>
    </row>
    <row r="22" spans="2:10" ht="26.25" customHeight="1">
      <c r="B22" s="456"/>
      <c r="C22" s="446"/>
      <c r="D22" s="446"/>
      <c r="E22" s="446"/>
      <c r="F22" s="461"/>
      <c r="G22" s="446"/>
      <c r="H22" s="446"/>
      <c r="I22" s="446"/>
      <c r="J22" s="461"/>
    </row>
    <row r="23" spans="2:10" ht="26.25" customHeight="1">
      <c r="B23" s="456"/>
      <c r="C23" s="446"/>
      <c r="D23" s="446"/>
      <c r="E23" s="446"/>
      <c r="F23" s="461"/>
      <c r="G23" s="446"/>
      <c r="H23" s="446"/>
      <c r="I23" s="446"/>
      <c r="J23" s="461"/>
    </row>
    <row r="24" spans="2:10" ht="26.25" customHeight="1">
      <c r="B24" s="456"/>
      <c r="C24" s="446"/>
      <c r="D24" s="446"/>
      <c r="E24" s="446"/>
      <c r="F24" s="461"/>
      <c r="G24" s="446"/>
      <c r="H24" s="446"/>
      <c r="I24" s="446"/>
      <c r="J24" s="461"/>
    </row>
    <row r="25" spans="2:10" ht="12.75">
      <c r="B25" s="408" t="s">
        <v>411</v>
      </c>
      <c r="C25" s="449">
        <f aca="true" t="shared" si="0" ref="C25:J25">SUM(C20:C24)</f>
        <v>87714</v>
      </c>
      <c r="D25" s="449">
        <f t="shared" si="0"/>
        <v>87714</v>
      </c>
      <c r="E25" s="449">
        <f t="shared" si="0"/>
        <v>87714</v>
      </c>
      <c r="F25" s="462">
        <f t="shared" si="0"/>
        <v>1</v>
      </c>
      <c r="G25" s="449">
        <f t="shared" si="0"/>
        <v>87714</v>
      </c>
      <c r="H25" s="449">
        <f t="shared" si="0"/>
        <v>87714</v>
      </c>
      <c r="I25" s="449">
        <f t="shared" si="0"/>
        <v>87714</v>
      </c>
      <c r="J25" s="462">
        <f t="shared" si="0"/>
        <v>1</v>
      </c>
    </row>
    <row r="26" spans="2:10" ht="14.25">
      <c r="B26" s="705" t="s">
        <v>416</v>
      </c>
      <c r="C26" s="705"/>
      <c r="D26" s="705"/>
      <c r="E26" s="705"/>
      <c r="F26" s="705"/>
      <c r="G26" s="705"/>
      <c r="H26" s="705"/>
      <c r="I26" s="705"/>
      <c r="J26" s="705"/>
    </row>
    <row r="27" spans="2:10" ht="12.75">
      <c r="B27" s="704" t="s">
        <v>417</v>
      </c>
      <c r="C27" s="716">
        <f>C2</f>
        <v>40451</v>
      </c>
      <c r="D27" s="716"/>
      <c r="E27" s="716"/>
      <c r="F27" s="716"/>
      <c r="G27" s="699" t="str">
        <f>G2</f>
        <v>31.12.2009 г.</v>
      </c>
      <c r="H27" s="699"/>
      <c r="I27" s="699"/>
      <c r="J27" s="699"/>
    </row>
    <row r="28" spans="2:10" ht="25.5">
      <c r="B28" s="704"/>
      <c r="C28" s="460" t="s">
        <v>418</v>
      </c>
      <c r="D28" s="411" t="s">
        <v>402</v>
      </c>
      <c r="E28" s="411" t="s">
        <v>413</v>
      </c>
      <c r="F28" s="460" t="s">
        <v>414</v>
      </c>
      <c r="G28" s="460" t="s">
        <v>418</v>
      </c>
      <c r="H28" s="411" t="s">
        <v>402</v>
      </c>
      <c r="I28" s="411" t="s">
        <v>413</v>
      </c>
      <c r="J28" s="460" t="s">
        <v>414</v>
      </c>
    </row>
    <row r="29" spans="2:10" ht="26.25" customHeight="1">
      <c r="B29" s="456"/>
      <c r="C29" s="446"/>
      <c r="D29" s="446"/>
      <c r="E29" s="446"/>
      <c r="F29" s="461"/>
      <c r="G29" s="446"/>
      <c r="H29" s="446"/>
      <c r="I29" s="446"/>
      <c r="J29" s="461"/>
    </row>
    <row r="30" spans="2:10" ht="26.25" customHeight="1">
      <c r="B30" s="456"/>
      <c r="C30" s="446"/>
      <c r="D30" s="446"/>
      <c r="E30" s="446"/>
      <c r="F30" s="461"/>
      <c r="G30" s="446"/>
      <c r="H30" s="446"/>
      <c r="I30" s="446"/>
      <c r="J30" s="461"/>
    </row>
    <row r="31" spans="2:10" ht="26.25" customHeight="1">
      <c r="B31" s="456"/>
      <c r="C31" s="446"/>
      <c r="D31" s="446"/>
      <c r="E31" s="446"/>
      <c r="F31" s="461"/>
      <c r="G31" s="446"/>
      <c r="H31" s="446"/>
      <c r="I31" s="446"/>
      <c r="J31" s="461"/>
    </row>
    <row r="32" spans="2:10" ht="26.25" customHeight="1">
      <c r="B32" s="456"/>
      <c r="C32" s="446"/>
      <c r="D32" s="446"/>
      <c r="E32" s="446"/>
      <c r="F32" s="461"/>
      <c r="G32" s="446"/>
      <c r="H32" s="446"/>
      <c r="I32" s="446"/>
      <c r="J32" s="461"/>
    </row>
    <row r="33" spans="2:10" ht="26.25" customHeight="1">
      <c r="B33" s="456"/>
      <c r="C33" s="446"/>
      <c r="D33" s="446"/>
      <c r="E33" s="446"/>
      <c r="F33" s="461"/>
      <c r="G33" s="446"/>
      <c r="H33" s="446"/>
      <c r="I33" s="446"/>
      <c r="J33" s="461"/>
    </row>
    <row r="34" spans="2:10" ht="12.75">
      <c r="B34" s="408" t="s">
        <v>411</v>
      </c>
      <c r="C34" s="449">
        <f aca="true" t="shared" si="1" ref="C34:J34">SUM(C29:C33)</f>
        <v>0</v>
      </c>
      <c r="D34" s="449">
        <f t="shared" si="1"/>
        <v>0</v>
      </c>
      <c r="E34" s="449">
        <f t="shared" si="1"/>
        <v>0</v>
      </c>
      <c r="F34" s="462">
        <f t="shared" si="1"/>
        <v>0</v>
      </c>
      <c r="G34" s="449">
        <f t="shared" si="1"/>
        <v>0</v>
      </c>
      <c r="H34" s="449">
        <f t="shared" si="1"/>
        <v>0</v>
      </c>
      <c r="I34" s="449">
        <f t="shared" si="1"/>
        <v>0</v>
      </c>
      <c r="J34" s="462">
        <f t="shared" si="1"/>
        <v>0</v>
      </c>
    </row>
  </sheetData>
  <mergeCells count="40">
    <mergeCell ref="B1:J1"/>
    <mergeCell ref="B2:B3"/>
    <mergeCell ref="C2:F2"/>
    <mergeCell ref="G2:J2"/>
    <mergeCell ref="D3:E3"/>
    <mergeCell ref="H3:I3"/>
    <mergeCell ref="D4:E4"/>
    <mergeCell ref="H4:I4"/>
    <mergeCell ref="D5:E5"/>
    <mergeCell ref="H5:I5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B17:J17"/>
    <mergeCell ref="B18:B19"/>
    <mergeCell ref="C18:F18"/>
    <mergeCell ref="G18:J18"/>
    <mergeCell ref="B26:J26"/>
    <mergeCell ref="B27:B28"/>
    <mergeCell ref="C27:F27"/>
    <mergeCell ref="G27:J27"/>
  </mergeCells>
  <printOptions/>
  <pageMargins left="0.3298611111111111" right="0.22013888888888888" top="0.75" bottom="0.75" header="0.5118055555555556" footer="0.5118055555555556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6"/>
  <sheetViews>
    <sheetView workbookViewId="0" topLeftCell="A1">
      <selection activeCell="C16" sqref="C16"/>
    </sheetView>
  </sheetViews>
  <sheetFormatPr defaultColWidth="9.140625" defaultRowHeight="12.75"/>
  <cols>
    <col min="1" max="1" width="9.140625" style="1" customWidth="1"/>
    <col min="2" max="2" width="34.140625" style="1" customWidth="1"/>
    <col min="3" max="3" width="11.140625" style="1" customWidth="1"/>
    <col min="4" max="4" width="11.7109375" style="1" customWidth="1"/>
    <col min="5" max="5" width="11.28125" style="1" customWidth="1"/>
    <col min="6" max="6" width="11.7109375" style="1" customWidth="1"/>
    <col min="7" max="16384" width="9.140625" style="1" customWidth="1"/>
  </cols>
  <sheetData>
    <row r="1" spans="2:6" ht="14.25">
      <c r="B1" s="705" t="s">
        <v>139</v>
      </c>
      <c r="C1" s="705"/>
      <c r="D1" s="705"/>
      <c r="E1" s="705"/>
      <c r="F1" s="705"/>
    </row>
    <row r="2" spans="2:6" ht="51">
      <c r="B2" s="463"/>
      <c r="C2" s="464" t="s">
        <v>419</v>
      </c>
      <c r="D2" s="465" t="s">
        <v>205</v>
      </c>
      <c r="E2" s="465" t="s">
        <v>206</v>
      </c>
      <c r="F2" s="465" t="s">
        <v>420</v>
      </c>
    </row>
    <row r="3" spans="2:6" s="450" customFormat="1" ht="12.75" customHeight="1">
      <c r="B3" s="452" t="str">
        <f>CONCATENATE("Резерви към 31.12.",НАЧАЛО!$AC$1-2," г.")</f>
        <v>Резерви към 31.12.2008 г.</v>
      </c>
      <c r="C3" s="463">
        <v>3470</v>
      </c>
      <c r="D3" s="463">
        <v>9</v>
      </c>
      <c r="E3" s="463">
        <v>1445</v>
      </c>
      <c r="F3" s="466">
        <v>4925</v>
      </c>
    </row>
    <row r="4" spans="2:6" ht="12.75" customHeight="1">
      <c r="B4" s="456" t="s">
        <v>421</v>
      </c>
      <c r="C4" s="317">
        <v>-3</v>
      </c>
      <c r="D4" s="317"/>
      <c r="E4" s="317"/>
      <c r="F4" s="317">
        <f>SUM(C4:E4)</f>
        <v>-3</v>
      </c>
    </row>
    <row r="5" spans="2:6" ht="12.75" customHeight="1">
      <c r="B5" s="456" t="s">
        <v>422</v>
      </c>
      <c r="C5" s="317">
        <v>206</v>
      </c>
      <c r="D5" s="317"/>
      <c r="E5" s="317"/>
      <c r="F5" s="317">
        <f>SUM(C5:E5)</f>
        <v>206</v>
      </c>
    </row>
    <row r="6" spans="2:6" s="450" customFormat="1" ht="12.75" customHeight="1">
      <c r="B6" s="467" t="str">
        <f>CONCATENATE("Преизчислени резерви към 31.12.",НАЧАЛО!$AC$1-2," г.")</f>
        <v>Преизчислени резерви към 31.12.2008 г.</v>
      </c>
      <c r="C6" s="449">
        <f>SUM(C3:C5)</f>
        <v>3673</v>
      </c>
      <c r="D6" s="449">
        <f>SUM(D3:D5)</f>
        <v>9</v>
      </c>
      <c r="E6" s="449">
        <f>SUM(E3:E5)</f>
        <v>1445</v>
      </c>
      <c r="F6" s="468">
        <f>SUM(F3:F5)</f>
        <v>5128</v>
      </c>
    </row>
    <row r="7" spans="2:6" ht="12.75">
      <c r="B7" s="452" t="s">
        <v>423</v>
      </c>
      <c r="C7" s="469">
        <v>24</v>
      </c>
      <c r="D7" s="469">
        <f>SUM(D8:D9)</f>
        <v>0</v>
      </c>
      <c r="E7" s="469">
        <f>SUM(E8:E9)</f>
        <v>0</v>
      </c>
      <c r="F7" s="466">
        <f>SUM(C7:E7)</f>
        <v>24</v>
      </c>
    </row>
    <row r="8" spans="2:6" ht="12.75">
      <c r="B8" s="456" t="s">
        <v>424</v>
      </c>
      <c r="C8" s="470"/>
      <c r="D8" s="470"/>
      <c r="E8" s="470"/>
      <c r="F8" s="317"/>
    </row>
    <row r="9" spans="2:6" ht="12.75">
      <c r="B9" s="456" t="s">
        <v>425</v>
      </c>
      <c r="C9" s="470">
        <v>24</v>
      </c>
      <c r="D9" s="470"/>
      <c r="E9" s="470"/>
      <c r="F9" s="317">
        <f aca="true" t="shared" si="0" ref="F9:F15">SUM(C9:E9)</f>
        <v>24</v>
      </c>
    </row>
    <row r="10" spans="2:6" ht="12.75">
      <c r="B10" s="456" t="s">
        <v>62</v>
      </c>
      <c r="C10" s="470"/>
      <c r="D10" s="470"/>
      <c r="E10" s="470"/>
      <c r="F10" s="317">
        <f t="shared" si="0"/>
        <v>0</v>
      </c>
    </row>
    <row r="11" spans="2:6" ht="12.75">
      <c r="B11" s="452" t="s">
        <v>426</v>
      </c>
      <c r="C11" s="469">
        <f>SUM(C12:C15)</f>
        <v>0</v>
      </c>
      <c r="D11" s="469">
        <f>SUM(D12:D15)</f>
        <v>0</v>
      </c>
      <c r="E11" s="469">
        <f>SUM(E12:E15)</f>
        <v>0</v>
      </c>
      <c r="F11" s="466">
        <f>SUM(C11:E11)</f>
        <v>0</v>
      </c>
    </row>
    <row r="12" spans="2:6" ht="12.75">
      <c r="B12" s="456" t="s">
        <v>427</v>
      </c>
      <c r="C12" s="470"/>
      <c r="D12" s="317"/>
      <c r="E12" s="470"/>
      <c r="F12" s="317">
        <f t="shared" si="0"/>
        <v>0</v>
      </c>
    </row>
    <row r="13" spans="2:6" ht="12.75">
      <c r="B13" s="456" t="s">
        <v>425</v>
      </c>
      <c r="C13" s="470"/>
      <c r="D13" s="317"/>
      <c r="E13" s="470"/>
      <c r="F13" s="317">
        <f t="shared" si="0"/>
        <v>0</v>
      </c>
    </row>
    <row r="14" spans="2:6" ht="12.75">
      <c r="B14" s="456" t="s">
        <v>428</v>
      </c>
      <c r="C14" s="470"/>
      <c r="D14" s="317"/>
      <c r="E14" s="470"/>
      <c r="F14" s="317">
        <f t="shared" si="0"/>
        <v>0</v>
      </c>
    </row>
    <row r="15" spans="2:6" ht="12.75">
      <c r="B15" s="456" t="s">
        <v>62</v>
      </c>
      <c r="C15" s="470"/>
      <c r="D15" s="317"/>
      <c r="E15" s="470"/>
      <c r="F15" s="317">
        <f t="shared" si="0"/>
        <v>0</v>
      </c>
    </row>
    <row r="16" spans="2:6" s="450" customFormat="1" ht="12.75">
      <c r="B16" s="467" t="str">
        <f>CONCATENATE("Резерви към 31.12.",НАЧАЛО!$AC$1-1," г.")</f>
        <v>Резерви към 31.12.2009 г.</v>
      </c>
      <c r="C16" s="468">
        <f>C6+C7+C11</f>
        <v>3697</v>
      </c>
      <c r="D16" s="468">
        <f>D6+D7+D11</f>
        <v>9</v>
      </c>
      <c r="E16" s="468">
        <f>E6+E7+E11</f>
        <v>1445</v>
      </c>
      <c r="F16" s="468">
        <f>F6+F7+F11</f>
        <v>5152</v>
      </c>
    </row>
    <row r="17" spans="2:6" s="450" customFormat="1" ht="12.75">
      <c r="B17" s="452" t="s">
        <v>423</v>
      </c>
      <c r="C17" s="469">
        <f>SUM(C18:C20)</f>
        <v>0</v>
      </c>
      <c r="D17" s="469">
        <f>SUM(D18:D19)</f>
        <v>0</v>
      </c>
      <c r="E17" s="469">
        <f>SUM(E18:E19)</f>
        <v>0</v>
      </c>
      <c r="F17" s="466">
        <f aca="true" t="shared" si="1" ref="F17:F25">SUM(C17:E17)</f>
        <v>0</v>
      </c>
    </row>
    <row r="18" spans="2:6" s="450" customFormat="1" ht="12.75">
      <c r="B18" s="456" t="s">
        <v>424</v>
      </c>
      <c r="C18" s="470"/>
      <c r="D18" s="470"/>
      <c r="E18" s="470"/>
      <c r="F18" s="317">
        <f t="shared" si="1"/>
        <v>0</v>
      </c>
    </row>
    <row r="19" spans="2:6" s="450" customFormat="1" ht="12.75">
      <c r="B19" s="456" t="s">
        <v>425</v>
      </c>
      <c r="C19" s="470"/>
      <c r="D19" s="470"/>
      <c r="E19" s="470"/>
      <c r="F19" s="317">
        <f t="shared" si="1"/>
        <v>0</v>
      </c>
    </row>
    <row r="20" spans="2:6" s="450" customFormat="1" ht="12.75">
      <c r="B20" s="456" t="s">
        <v>62</v>
      </c>
      <c r="C20" s="470"/>
      <c r="D20" s="470"/>
      <c r="E20" s="470"/>
      <c r="F20" s="317">
        <f t="shared" si="1"/>
        <v>0</v>
      </c>
    </row>
    <row r="21" spans="2:6" s="450" customFormat="1" ht="12.75">
      <c r="B21" s="452" t="s">
        <v>426</v>
      </c>
      <c r="C21" s="469">
        <f>SUM(C22:C25)</f>
        <v>0</v>
      </c>
      <c r="D21" s="469">
        <f>SUM(D22:D25)</f>
        <v>0</v>
      </c>
      <c r="E21" s="469">
        <f>SUM(E22:E25)</f>
        <v>0</v>
      </c>
      <c r="F21" s="466">
        <f t="shared" si="1"/>
        <v>0</v>
      </c>
    </row>
    <row r="22" spans="2:6" s="450" customFormat="1" ht="12.75">
      <c r="B22" s="456" t="s">
        <v>427</v>
      </c>
      <c r="C22" s="470"/>
      <c r="D22" s="317"/>
      <c r="E22" s="470"/>
      <c r="F22" s="317">
        <f t="shared" si="1"/>
        <v>0</v>
      </c>
    </row>
    <row r="23" spans="2:6" s="450" customFormat="1" ht="12.75">
      <c r="B23" s="456" t="s">
        <v>425</v>
      </c>
      <c r="C23" s="470"/>
      <c r="D23" s="317"/>
      <c r="E23" s="470"/>
      <c r="F23" s="317">
        <f t="shared" si="1"/>
        <v>0</v>
      </c>
    </row>
    <row r="24" spans="2:6" s="450" customFormat="1" ht="12.75">
      <c r="B24" s="456" t="s">
        <v>428</v>
      </c>
      <c r="C24" s="470"/>
      <c r="D24" s="317"/>
      <c r="E24" s="470"/>
      <c r="F24" s="317">
        <f t="shared" si="1"/>
        <v>0</v>
      </c>
    </row>
    <row r="25" spans="2:6" s="450" customFormat="1" ht="12.75">
      <c r="B25" s="456" t="s">
        <v>62</v>
      </c>
      <c r="C25" s="470"/>
      <c r="D25" s="317"/>
      <c r="E25" s="470"/>
      <c r="F25" s="317">
        <f t="shared" si="1"/>
        <v>0</v>
      </c>
    </row>
    <row r="26" spans="2:6" s="450" customFormat="1" ht="12.75">
      <c r="B26" s="467" t="str">
        <f>CONCATENATE("Резерви към ",НАЧАЛО!AA1,".",НАЧАЛО!AB1,".",НАЧАЛО!AC1," г.")</f>
        <v>Резерви към 30.9.2010 г.</v>
      </c>
      <c r="C26" s="468">
        <f>C16</f>
        <v>3697</v>
      </c>
      <c r="D26" s="468">
        <f>D16</f>
        <v>9</v>
      </c>
      <c r="E26" s="468">
        <f>E16</f>
        <v>1445</v>
      </c>
      <c r="F26" s="468">
        <f>F16</f>
        <v>5152</v>
      </c>
    </row>
  </sheetData>
  <mergeCells count="1">
    <mergeCell ref="B1:F1"/>
  </mergeCells>
  <printOptions/>
  <pageMargins left="0.7000000000000001" right="0.7000000000000001" top="0.75" bottom="0.75" header="0.5118055555555556" footer="0.5118055555555556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41"/>
  <sheetViews>
    <sheetView workbookViewId="0" topLeftCell="A1">
      <selection activeCell="A14" sqref="A14"/>
    </sheetView>
  </sheetViews>
  <sheetFormatPr defaultColWidth="9.140625" defaultRowHeight="12.75"/>
  <cols>
    <col min="1" max="1" width="9.140625" style="1" customWidth="1"/>
    <col min="2" max="2" width="38.8515625" style="1" customWidth="1"/>
    <col min="3" max="3" width="11.421875" style="1" customWidth="1"/>
    <col min="4" max="16384" width="9.140625" style="1" customWidth="1"/>
  </cols>
  <sheetData>
    <row r="1" spans="2:3" ht="14.25">
      <c r="B1" s="705" t="s">
        <v>141</v>
      </c>
      <c r="C1" s="705"/>
    </row>
    <row r="2" spans="2:3" ht="12.75">
      <c r="B2" s="411" t="s">
        <v>141</v>
      </c>
      <c r="C2" s="411" t="s">
        <v>402</v>
      </c>
    </row>
    <row r="3" spans="2:3" ht="12.75">
      <c r="B3" s="471" t="str">
        <f>CONCATENATE("Печалба към ","31.12.",,НАЧАЛО!$AC$1-2," г.")</f>
        <v>Печалба към 31.12.2008 г.</v>
      </c>
      <c r="C3" s="472">
        <v>123</v>
      </c>
    </row>
    <row r="4" spans="2:3" ht="12.75">
      <c r="B4" s="473" t="s">
        <v>429</v>
      </c>
      <c r="C4" s="446"/>
    </row>
    <row r="5" spans="2:3" ht="12.75">
      <c r="B5" s="463" t="s">
        <v>423</v>
      </c>
      <c r="C5" s="445">
        <f>C6+C7</f>
        <v>2835</v>
      </c>
    </row>
    <row r="6" spans="2:3" ht="12.75">
      <c r="B6" s="473" t="str">
        <f>CONCATENATE("Печалба  за годината ",НАЧАЛО!$AC$1-1)</f>
        <v>Печалба  за годината 2009</v>
      </c>
      <c r="C6" s="446">
        <v>2562</v>
      </c>
    </row>
    <row r="7" spans="2:3" ht="12.75">
      <c r="B7" s="473" t="s">
        <v>429</v>
      </c>
      <c r="C7" s="446">
        <v>273</v>
      </c>
    </row>
    <row r="8" spans="2:3" ht="12.75">
      <c r="B8" s="463" t="s">
        <v>426</v>
      </c>
      <c r="C8" s="445">
        <f>SUM(C9:C11)</f>
        <v>0</v>
      </c>
    </row>
    <row r="9" spans="2:3" ht="12.75">
      <c r="B9" s="473" t="s">
        <v>430</v>
      </c>
      <c r="C9" s="446">
        <v>0</v>
      </c>
    </row>
    <row r="10" spans="2:5" ht="12.75">
      <c r="B10" s="473" t="s">
        <v>431</v>
      </c>
      <c r="C10" s="446"/>
      <c r="E10" s="1" t="s">
        <v>432</v>
      </c>
    </row>
    <row r="11" spans="2:3" ht="12.75">
      <c r="B11" s="473" t="s">
        <v>429</v>
      </c>
      <c r="C11" s="446"/>
    </row>
    <row r="12" spans="2:3" ht="12.75">
      <c r="B12" s="474" t="str">
        <f>CONCATENATE("Печалба към ","31.12.",,НАЧАЛО!$AC$1-1," г.")</f>
        <v>Печалба към 31.12.2009 г.</v>
      </c>
      <c r="C12" s="475">
        <f>C3+C5+C8</f>
        <v>2958</v>
      </c>
    </row>
    <row r="13" spans="2:3" ht="12.75">
      <c r="B13" s="463" t="s">
        <v>423</v>
      </c>
      <c r="C13" s="476">
        <f>SUM(C14:C15)</f>
        <v>676</v>
      </c>
    </row>
    <row r="14" spans="2:3" ht="12.75">
      <c r="B14" s="473" t="str">
        <f>CONCATENATE("Печалба  за годината ",НАЧАЛО!$AC$1)</f>
        <v>Печалба  за годината 2010</v>
      </c>
      <c r="C14" s="476">
        <v>676</v>
      </c>
    </row>
    <row r="15" spans="2:3" ht="12.75">
      <c r="B15" s="473" t="s">
        <v>433</v>
      </c>
      <c r="C15" s="476"/>
    </row>
    <row r="16" spans="2:3" ht="12.75">
      <c r="B16" s="463" t="s">
        <v>426</v>
      </c>
      <c r="C16" s="476">
        <f>SUM(C17:C19)</f>
        <v>-856</v>
      </c>
    </row>
    <row r="17" spans="2:3" ht="12.75">
      <c r="B17" s="473" t="s">
        <v>434</v>
      </c>
      <c r="C17" s="476"/>
    </row>
    <row r="18" spans="2:3" ht="12.75">
      <c r="B18" s="473" t="s">
        <v>431</v>
      </c>
      <c r="C18" s="476"/>
    </row>
    <row r="19" spans="2:3" ht="12.75">
      <c r="B19" s="473" t="s">
        <v>429</v>
      </c>
      <c r="C19" s="476">
        <v>-856</v>
      </c>
    </row>
    <row r="20" spans="2:3" ht="12.75">
      <c r="B20" s="477" t="str">
        <f>CONCATENATE("Печалба към ",НАЧАЛО!$AA$1,".",НАЧАЛО!$AB$1,".",НАЧАЛО!$AC$1," г.")</f>
        <v>Печалба към 30.9.2010 г.</v>
      </c>
      <c r="C20" s="449">
        <f>C12+C13+C16</f>
        <v>2778</v>
      </c>
    </row>
    <row r="21" spans="2:3" ht="12.75">
      <c r="B21" s="471" t="str">
        <f>CONCATENATE("Загуба към ","31.12.",,НАЧАЛО!$AC$1-2," г.")</f>
        <v>Загуба към 31.12.2008 г.</v>
      </c>
      <c r="C21" s="472">
        <v>-906</v>
      </c>
    </row>
    <row r="22" spans="2:3" ht="12.75">
      <c r="B22" s="463" t="s">
        <v>423</v>
      </c>
      <c r="C22" s="445">
        <f>SUM(C23:C24)</f>
        <v>0</v>
      </c>
    </row>
    <row r="23" spans="2:4" ht="12.75">
      <c r="B23" s="473" t="str">
        <f>CONCATENATE("Загуба  за годината ",НАЧАЛО!$AC$1-1)</f>
        <v>Загуба  за годината 2009</v>
      </c>
      <c r="C23" s="446">
        <v>0</v>
      </c>
      <c r="D23" s="478" t="s">
        <v>98</v>
      </c>
    </row>
    <row r="24" spans="2:3" ht="12.75">
      <c r="B24" s="473" t="s">
        <v>429</v>
      </c>
      <c r="C24" s="446"/>
    </row>
    <row r="25" spans="2:3" ht="12.75">
      <c r="B25" s="463" t="s">
        <v>426</v>
      </c>
      <c r="C25" s="445">
        <f>SUM(C26:C28)</f>
        <v>0</v>
      </c>
    </row>
    <row r="26" spans="2:3" ht="12.75">
      <c r="B26" s="473" t="s">
        <v>435</v>
      </c>
      <c r="C26" s="445"/>
    </row>
    <row r="27" spans="2:5" ht="12.75">
      <c r="B27" s="473" t="s">
        <v>433</v>
      </c>
      <c r="C27" s="446">
        <v>0</v>
      </c>
      <c r="E27" s="1" t="s">
        <v>436</v>
      </c>
    </row>
    <row r="28" spans="2:3" ht="12.75">
      <c r="B28" s="473" t="s">
        <v>429</v>
      </c>
      <c r="C28" s="446">
        <v>0</v>
      </c>
    </row>
    <row r="29" spans="2:3" ht="12.75">
      <c r="B29" s="474" t="str">
        <f>CONCATENATE("Загуба към ","31.12.",,НАЧАЛО!$AC$1-1," г.")</f>
        <v>Загуба към 31.12.2009 г.</v>
      </c>
      <c r="C29" s="475">
        <f>C22+C25+C21</f>
        <v>-906</v>
      </c>
    </row>
    <row r="30" spans="2:3" ht="12.75">
      <c r="B30" s="463" t="s">
        <v>423</v>
      </c>
      <c r="C30" s="476">
        <f>SUM(C31:C32)</f>
        <v>0</v>
      </c>
    </row>
    <row r="31" spans="2:3" ht="12.75">
      <c r="B31" s="473" t="str">
        <f>CONCATENATE("Загуба  за годината ",НАЧАЛО!$AC$1)</f>
        <v>Загуба  за годината 2010</v>
      </c>
      <c r="C31" s="476">
        <v>0</v>
      </c>
    </row>
    <row r="32" spans="2:3" ht="12.75">
      <c r="B32" s="473" t="s">
        <v>429</v>
      </c>
      <c r="C32" s="476">
        <v>0</v>
      </c>
    </row>
    <row r="33" spans="2:3" ht="12.75">
      <c r="B33" s="463" t="s">
        <v>426</v>
      </c>
      <c r="C33" s="476">
        <f>SUM(C34:C36)</f>
        <v>0</v>
      </c>
    </row>
    <row r="34" spans="2:3" ht="12.75">
      <c r="B34" s="473" t="s">
        <v>435</v>
      </c>
      <c r="C34" s="476"/>
    </row>
    <row r="35" spans="2:3" ht="12.75">
      <c r="B35" s="473" t="s">
        <v>433</v>
      </c>
      <c r="C35" s="476"/>
    </row>
    <row r="36" spans="2:3" ht="12.75">
      <c r="B36" s="473" t="s">
        <v>429</v>
      </c>
      <c r="C36" s="476"/>
    </row>
    <row r="37" spans="2:3" ht="12.75">
      <c r="B37" s="477" t="str">
        <f>CONCATENATE("Загуба към ",НАЧАЛО!$AA$1,".",НАЧАЛО!$AB$1,".",НАЧАЛО!$AC$1," г.")</f>
        <v>Загуба към 30.9.2010 г.</v>
      </c>
      <c r="C37" s="449">
        <f>C30+C33+C29</f>
        <v>-906</v>
      </c>
    </row>
    <row r="38" spans="2:3" ht="12.75">
      <c r="B38" s="479"/>
      <c r="C38" s="476"/>
    </row>
    <row r="39" spans="2:3" ht="12.75">
      <c r="B39" s="471" t="str">
        <f>CONCATENATE("Финансов резултат към ","31.12.",,НАЧАЛО!$AC$1-2," г.")</f>
        <v>Финансов резултат към 31.12.2008 г.</v>
      </c>
      <c r="C39" s="472">
        <f>C3+C21</f>
        <v>-783</v>
      </c>
    </row>
    <row r="40" spans="2:4" ht="12.75">
      <c r="B40" s="474" t="str">
        <f>CONCATENATE("Финансов резултат към ","31.12.",,НАЧАЛО!$AC$1-1," г.")</f>
        <v>Финансов резултат към 31.12.2009 г.</v>
      </c>
      <c r="C40" s="475">
        <f>C12+C29</f>
        <v>2052</v>
      </c>
      <c r="D40" s="478">
        <f>C40-баланс!G67</f>
        <v>-4946</v>
      </c>
    </row>
    <row r="41" spans="2:4" ht="12.75">
      <c r="B41" s="477" t="str">
        <f>CONCATENATE("Финансов резултат към ",НАЧАЛО!$AA$1,".",НАЧАЛО!$AB$1,".",НАЧАЛО!$AC$1," г.")</f>
        <v>Финансов резултат към 30.9.2010 г.</v>
      </c>
      <c r="C41" s="449">
        <f>C20+C37</f>
        <v>1872</v>
      </c>
      <c r="D41" s="478">
        <f>C41-баланс!E67</f>
        <v>-3463</v>
      </c>
    </row>
  </sheetData>
  <mergeCells count="1">
    <mergeCell ref="B1:C1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13"/>
  <sheetViews>
    <sheetView workbookViewId="0" topLeftCell="A1">
      <selection activeCell="K20" sqref="K20"/>
    </sheetView>
  </sheetViews>
  <sheetFormatPr defaultColWidth="9.140625" defaultRowHeight="12.75"/>
  <cols>
    <col min="1" max="7" width="9.140625" style="1" customWidth="1"/>
    <col min="8" max="8" width="11.57421875" style="1" customWidth="1"/>
    <col min="9" max="16384" width="9.140625" style="1" customWidth="1"/>
  </cols>
  <sheetData>
    <row r="1" spans="2:8" ht="14.25">
      <c r="B1" s="705" t="s">
        <v>437</v>
      </c>
      <c r="C1" s="705"/>
      <c r="D1" s="705"/>
      <c r="E1" s="705"/>
      <c r="F1" s="705"/>
      <c r="G1" s="705"/>
      <c r="H1" s="705"/>
    </row>
    <row r="2" spans="2:8" ht="12.75">
      <c r="B2" s="699" t="s">
        <v>438</v>
      </c>
      <c r="C2" s="699"/>
      <c r="D2" s="699"/>
      <c r="E2" s="699"/>
      <c r="F2" s="699"/>
      <c r="G2" s="699"/>
      <c r="H2" s="411" t="s">
        <v>439</v>
      </c>
    </row>
    <row r="3" spans="2:8" ht="12.75">
      <c r="B3" s="721" t="s">
        <v>440</v>
      </c>
      <c r="C3" s="721"/>
      <c r="D3" s="721"/>
      <c r="E3" s="721"/>
      <c r="F3" s="721"/>
      <c r="G3" s="721"/>
      <c r="H3" s="481"/>
    </row>
    <row r="4" spans="2:8" ht="12.75">
      <c r="B4" s="721" t="s">
        <v>441</v>
      </c>
      <c r="C4" s="721"/>
      <c r="D4" s="721"/>
      <c r="E4" s="721"/>
      <c r="F4" s="721"/>
      <c r="G4" s="721"/>
      <c r="H4" s="481"/>
    </row>
    <row r="5" spans="2:8" ht="12.75">
      <c r="B5" s="721" t="s">
        <v>442</v>
      </c>
      <c r="C5" s="721"/>
      <c r="D5" s="721"/>
      <c r="E5" s="721"/>
      <c r="F5" s="721"/>
      <c r="G5" s="721"/>
      <c r="H5" s="481"/>
    </row>
    <row r="6" spans="2:8" ht="12.75">
      <c r="B6" s="721" t="s">
        <v>443</v>
      </c>
      <c r="C6" s="721"/>
      <c r="D6" s="721"/>
      <c r="E6" s="721"/>
      <c r="F6" s="721"/>
      <c r="G6" s="721"/>
      <c r="H6" s="481"/>
    </row>
    <row r="7" spans="2:8" ht="12.75">
      <c r="B7" s="721" t="s">
        <v>444</v>
      </c>
      <c r="C7" s="721"/>
      <c r="D7" s="721"/>
      <c r="E7" s="721"/>
      <c r="F7" s="721"/>
      <c r="G7" s="721"/>
      <c r="H7" s="481"/>
    </row>
    <row r="8" spans="2:8" ht="12.75">
      <c r="B8" s="721" t="s">
        <v>445</v>
      </c>
      <c r="C8" s="721"/>
      <c r="D8" s="721"/>
      <c r="E8" s="721"/>
      <c r="F8" s="721"/>
      <c r="G8" s="721"/>
      <c r="H8" s="481"/>
    </row>
    <row r="9" spans="2:8" ht="12.75">
      <c r="B9" s="721"/>
      <c r="C9" s="721"/>
      <c r="D9" s="721"/>
      <c r="E9" s="721"/>
      <c r="F9" s="721"/>
      <c r="G9" s="721"/>
      <c r="H9" s="481"/>
    </row>
    <row r="10" spans="2:8" ht="12.75" hidden="1">
      <c r="B10" s="721"/>
      <c r="C10" s="721"/>
      <c r="D10" s="721"/>
      <c r="E10" s="721"/>
      <c r="F10" s="721"/>
      <c r="G10" s="721"/>
      <c r="H10" s="481"/>
    </row>
    <row r="11" spans="2:8" ht="12.75" hidden="1">
      <c r="B11" s="721"/>
      <c r="C11" s="721"/>
      <c r="D11" s="721"/>
      <c r="E11" s="721"/>
      <c r="F11" s="721"/>
      <c r="G11" s="721"/>
      <c r="H11" s="481"/>
    </row>
    <row r="12" spans="2:8" ht="12.75" hidden="1">
      <c r="B12" s="721"/>
      <c r="C12" s="721"/>
      <c r="D12" s="721"/>
      <c r="E12" s="721"/>
      <c r="F12" s="721"/>
      <c r="G12" s="721"/>
      <c r="H12" s="481"/>
    </row>
    <row r="13" spans="2:8" ht="12.75">
      <c r="B13" s="688" t="s">
        <v>231</v>
      </c>
      <c r="C13" s="688"/>
      <c r="D13" s="688"/>
      <c r="E13" s="688"/>
      <c r="F13" s="688"/>
      <c r="G13" s="688"/>
      <c r="H13" s="482">
        <f>SUM(H3:H12)</f>
        <v>0</v>
      </c>
    </row>
  </sheetData>
  <mergeCells count="13">
    <mergeCell ref="B1:H1"/>
    <mergeCell ref="B2:G2"/>
    <mergeCell ref="B3:G3"/>
    <mergeCell ref="B4:G4"/>
    <mergeCell ref="B5:G5"/>
    <mergeCell ref="B6:G6"/>
    <mergeCell ref="B7:G7"/>
    <mergeCell ref="B8:G8"/>
    <mergeCell ref="B13:G13"/>
    <mergeCell ref="B9:G9"/>
    <mergeCell ref="B10:G10"/>
    <mergeCell ref="B11:G11"/>
    <mergeCell ref="B12:G1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T96"/>
  <sheetViews>
    <sheetView workbookViewId="0" topLeftCell="A1">
      <selection activeCell="B51" sqref="B51"/>
    </sheetView>
  </sheetViews>
  <sheetFormatPr defaultColWidth="9.140625" defaultRowHeight="12.75"/>
  <cols>
    <col min="1" max="1" width="4.28125" style="1" customWidth="1"/>
    <col min="2" max="6" width="6.28125" style="1" customWidth="1"/>
    <col min="7" max="7" width="6.140625" style="1" customWidth="1"/>
    <col min="8" max="8" width="5.00390625" style="1" customWidth="1"/>
    <col min="9" max="9" width="9.421875" style="1" customWidth="1"/>
    <col min="10" max="10" width="5.140625" style="1" customWidth="1"/>
    <col min="11" max="11" width="6.140625" style="1" customWidth="1"/>
    <col min="12" max="12" width="6.8515625" style="1" customWidth="1"/>
    <col min="13" max="13" width="6.140625" style="1" customWidth="1"/>
    <col min="14" max="14" width="5.140625" style="1" customWidth="1"/>
    <col min="15" max="16384" width="9.140625" style="1" customWidth="1"/>
  </cols>
  <sheetData>
    <row r="1" spans="2:14" ht="14.25">
      <c r="B1" s="705" t="s">
        <v>446</v>
      </c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</row>
    <row r="2" spans="2:14" ht="12.75">
      <c r="B2" s="684" t="s">
        <v>147</v>
      </c>
      <c r="C2" s="684"/>
      <c r="D2" s="684"/>
      <c r="E2" s="684"/>
      <c r="F2" s="684"/>
      <c r="G2" s="684"/>
      <c r="H2" s="684"/>
      <c r="I2" s="684"/>
      <c r="J2" s="684"/>
      <c r="K2" s="702">
        <f>НАЧАЛО!AA2</f>
        <v>40451</v>
      </c>
      <c r="L2" s="702"/>
      <c r="M2" s="684" t="str">
        <f>CONCATENATE("31.12.",YEAR(K2)-1," г.")</f>
        <v>31.12.2009 г.</v>
      </c>
      <c r="N2" s="684"/>
    </row>
    <row r="3" spans="2:14" ht="12.75">
      <c r="B3" s="684"/>
      <c r="C3" s="684"/>
      <c r="D3" s="684"/>
      <c r="E3" s="684"/>
      <c r="F3" s="684"/>
      <c r="G3" s="684"/>
      <c r="H3" s="684"/>
      <c r="I3" s="684"/>
      <c r="J3" s="684"/>
      <c r="K3" s="702"/>
      <c r="L3" s="702"/>
      <c r="M3" s="684"/>
      <c r="N3" s="684"/>
    </row>
    <row r="4" spans="2:20" ht="12.75">
      <c r="B4" s="689" t="s">
        <v>447</v>
      </c>
      <c r="C4" s="689"/>
      <c r="D4" s="689"/>
      <c r="E4" s="689"/>
      <c r="F4" s="689"/>
      <c r="G4" s="689"/>
      <c r="H4" s="689"/>
      <c r="I4" s="689"/>
      <c r="J4" s="689"/>
      <c r="K4" s="679"/>
      <c r="L4" s="679"/>
      <c r="M4" s="679"/>
      <c r="N4" s="679"/>
      <c r="P4" s="681">
        <f>IF(AND(S5="",S7=""),"","Разлика между БАЛАНСА и ПРИЛОЖЕНИЕТО!")</f>
      </c>
      <c r="Q4" s="681"/>
      <c r="R4" s="681"/>
      <c r="S4" s="681"/>
      <c r="T4" s="681"/>
    </row>
    <row r="5" spans="2:20" ht="12.75">
      <c r="B5" s="689" t="s">
        <v>448</v>
      </c>
      <c r="C5" s="689"/>
      <c r="D5" s="689"/>
      <c r="E5" s="689"/>
      <c r="F5" s="689"/>
      <c r="G5" s="689"/>
      <c r="H5" s="689"/>
      <c r="I5" s="689"/>
      <c r="J5" s="689"/>
      <c r="K5" s="679"/>
      <c r="L5" s="679"/>
      <c r="M5" s="679"/>
      <c r="N5" s="679"/>
      <c r="P5" s="680">
        <f>IF(S5="","","Разлика текущ период:")</f>
      </c>
      <c r="Q5" s="680"/>
      <c r="R5" s="680"/>
      <c r="S5" s="405">
        <f>IF(K8=баланс!E71,"",K8-баланс!E71)</f>
      </c>
      <c r="T5" s="406"/>
    </row>
    <row r="6" spans="2:20" ht="12.75">
      <c r="B6" s="689" t="s">
        <v>449</v>
      </c>
      <c r="C6" s="689"/>
      <c r="D6" s="689"/>
      <c r="E6" s="689"/>
      <c r="F6" s="689"/>
      <c r="G6" s="689"/>
      <c r="H6" s="689"/>
      <c r="I6" s="689"/>
      <c r="J6" s="689"/>
      <c r="K6" s="679"/>
      <c r="L6" s="679"/>
      <c r="M6" s="679"/>
      <c r="N6" s="679"/>
      <c r="P6" s="678">
        <f>IF(S5="","","Сума по баланс:")</f>
      </c>
      <c r="Q6" s="678"/>
      <c r="R6" s="678"/>
      <c r="S6" s="407">
        <f>IF(S5="","",баланс!E71)</f>
      </c>
      <c r="T6" s="406"/>
    </row>
    <row r="7" spans="2:20" ht="12.75">
      <c r="B7" s="689" t="s">
        <v>450</v>
      </c>
      <c r="C7" s="689"/>
      <c r="D7" s="689"/>
      <c r="E7" s="689"/>
      <c r="F7" s="689"/>
      <c r="G7" s="689"/>
      <c r="H7" s="689"/>
      <c r="I7" s="689"/>
      <c r="J7" s="689"/>
      <c r="K7" s="679"/>
      <c r="L7" s="679"/>
      <c r="M7" s="679"/>
      <c r="N7" s="679"/>
      <c r="P7" s="680">
        <f>IF(S7="","","Разлика предходен период:")</f>
      </c>
      <c r="Q7" s="680"/>
      <c r="R7" s="680"/>
      <c r="S7" s="405">
        <f>IF(M8=баланс!G71,"",M8-баланс!G71)</f>
      </c>
      <c r="T7" s="406"/>
    </row>
    <row r="8" spans="2:20" ht="12.75">
      <c r="B8" s="688" t="s">
        <v>231</v>
      </c>
      <c r="C8" s="688"/>
      <c r="D8" s="688"/>
      <c r="E8" s="688"/>
      <c r="F8" s="688"/>
      <c r="G8" s="688"/>
      <c r="H8" s="688"/>
      <c r="I8" s="688"/>
      <c r="J8" s="688"/>
      <c r="K8" s="677">
        <f>SUM(K4:L7)</f>
        <v>0</v>
      </c>
      <c r="L8" s="677"/>
      <c r="M8" s="677">
        <f>SUM(M4:N7)</f>
        <v>0</v>
      </c>
      <c r="N8" s="677"/>
      <c r="P8" s="678">
        <f>IF(S7="","","Сума по баланс:")</f>
      </c>
      <c r="Q8" s="678"/>
      <c r="R8" s="678"/>
      <c r="S8" s="407">
        <f>IF(S7="","",баланс!G71)</f>
      </c>
      <c r="T8" s="406"/>
    </row>
    <row r="9" spans="2:14" ht="14.25">
      <c r="B9" s="692" t="s">
        <v>283</v>
      </c>
      <c r="C9" s="692"/>
      <c r="D9" s="692"/>
      <c r="E9" s="692"/>
      <c r="F9" s="692"/>
      <c r="G9" s="692"/>
      <c r="H9" s="692"/>
      <c r="I9" s="692"/>
      <c r="J9" s="692"/>
      <c r="K9" s="692"/>
      <c r="L9" s="692"/>
      <c r="M9" s="692"/>
      <c r="N9" s="692"/>
    </row>
    <row r="10" spans="2:20" ht="12.75">
      <c r="B10" s="687" t="s">
        <v>281</v>
      </c>
      <c r="C10" s="687"/>
      <c r="D10" s="687"/>
      <c r="E10" s="687"/>
      <c r="F10" s="687"/>
      <c r="G10" s="687"/>
      <c r="H10" s="687"/>
      <c r="I10" s="687"/>
      <c r="J10" s="687"/>
      <c r="K10" s="693">
        <f>K2</f>
        <v>40451</v>
      </c>
      <c r="L10" s="693"/>
      <c r="M10" s="687" t="str">
        <f>M2</f>
        <v>31.12.2009 г.</v>
      </c>
      <c r="N10" s="687"/>
      <c r="P10" s="681">
        <f>IF(AND(S11="",S13=""),"","Разлика между СПРАВКАТА и ПРИЛОЖЕНИЕ №1!")</f>
      </c>
      <c r="Q10" s="681"/>
      <c r="R10" s="681"/>
      <c r="S10" s="681"/>
      <c r="T10" s="681"/>
    </row>
    <row r="11" spans="2:20" ht="12.75">
      <c r="B11" s="689" t="s">
        <v>451</v>
      </c>
      <c r="C11" s="689"/>
      <c r="D11" s="689"/>
      <c r="E11" s="689"/>
      <c r="F11" s="689"/>
      <c r="G11" s="689"/>
      <c r="H11" s="689"/>
      <c r="I11" s="689"/>
      <c r="J11" s="689"/>
      <c r="K11" s="679"/>
      <c r="L11" s="679"/>
      <c r="M11" s="679"/>
      <c r="N11" s="679"/>
      <c r="P11" s="680">
        <f>IF(S11="","","Разлика текущ период:")</f>
      </c>
      <c r="Q11" s="680"/>
      <c r="R11" s="680"/>
      <c r="S11" s="405">
        <f>IF(K14=K5,"",K14-K5)</f>
      </c>
      <c r="T11" s="406"/>
    </row>
    <row r="12" spans="2:20" ht="12.75">
      <c r="B12" s="689" t="s">
        <v>452</v>
      </c>
      <c r="C12" s="689"/>
      <c r="D12" s="689"/>
      <c r="E12" s="689"/>
      <c r="F12" s="689"/>
      <c r="G12" s="689"/>
      <c r="H12" s="689"/>
      <c r="I12" s="689"/>
      <c r="J12" s="689"/>
      <c r="K12" s="679"/>
      <c r="L12" s="679"/>
      <c r="M12" s="679"/>
      <c r="N12" s="679"/>
      <c r="P12" s="678">
        <f>IF(S11="","","Сума по приложение №1:")</f>
      </c>
      <c r="Q12" s="678"/>
      <c r="R12" s="678"/>
      <c r="S12" s="407">
        <f>IF(K14=K5,"",K5)</f>
      </c>
      <c r="T12" s="406"/>
    </row>
    <row r="13" spans="2:20" ht="12.75">
      <c r="B13" s="689" t="s">
        <v>453</v>
      </c>
      <c r="C13" s="689"/>
      <c r="D13" s="689"/>
      <c r="E13" s="689"/>
      <c r="F13" s="689"/>
      <c r="G13" s="689"/>
      <c r="H13" s="689"/>
      <c r="I13" s="689"/>
      <c r="J13" s="689"/>
      <c r="K13" s="679"/>
      <c r="L13" s="679"/>
      <c r="M13" s="679"/>
      <c r="N13" s="679"/>
      <c r="P13" s="680">
        <f>IF(S13="","","Разлика предходен период:")</f>
      </c>
      <c r="Q13" s="680"/>
      <c r="R13" s="680"/>
      <c r="S13" s="405">
        <f>IF(M14=M5,"",M14-M5)</f>
      </c>
      <c r="T13" s="406"/>
    </row>
    <row r="14" spans="2:20" ht="12.75">
      <c r="B14" s="688" t="s">
        <v>231</v>
      </c>
      <c r="C14" s="688"/>
      <c r="D14" s="688"/>
      <c r="E14" s="688"/>
      <c r="F14" s="688"/>
      <c r="G14" s="688"/>
      <c r="H14" s="688"/>
      <c r="I14" s="688"/>
      <c r="J14" s="688"/>
      <c r="K14" s="677">
        <f>SUM(K11:L13)</f>
        <v>0</v>
      </c>
      <c r="L14" s="677"/>
      <c r="M14" s="677">
        <f>SUM(M11:N13)</f>
        <v>0</v>
      </c>
      <c r="N14" s="677"/>
      <c r="P14" s="678">
        <f>IF(S13="","","Сума по приложение №1:")</f>
      </c>
      <c r="Q14" s="678"/>
      <c r="R14" s="678"/>
      <c r="S14" s="407">
        <f>IF(M14=M5,"",M5)</f>
      </c>
      <c r="T14" s="406"/>
    </row>
    <row r="15" spans="2:14" ht="14.25">
      <c r="B15" s="692" t="s">
        <v>289</v>
      </c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  <c r="N15" s="692"/>
    </row>
    <row r="16" spans="2:14" ht="12.75">
      <c r="B16" s="687" t="s">
        <v>281</v>
      </c>
      <c r="C16" s="687"/>
      <c r="D16" s="687"/>
      <c r="E16" s="687"/>
      <c r="F16" s="687"/>
      <c r="G16" s="687"/>
      <c r="H16" s="687"/>
      <c r="I16" s="687"/>
      <c r="J16" s="687"/>
      <c r="K16" s="693">
        <f>K2</f>
        <v>40451</v>
      </c>
      <c r="L16" s="693"/>
      <c r="M16" s="693" t="str">
        <f>M2</f>
        <v>31.12.2009 г.</v>
      </c>
      <c r="N16" s="693"/>
    </row>
    <row r="17" spans="2:14" ht="12.75">
      <c r="B17" s="689" t="s">
        <v>454</v>
      </c>
      <c r="C17" s="689"/>
      <c r="D17" s="689"/>
      <c r="E17" s="689"/>
      <c r="F17" s="689"/>
      <c r="G17" s="689"/>
      <c r="H17" s="689"/>
      <c r="I17" s="689"/>
      <c r="J17" s="689"/>
      <c r="K17" s="679"/>
      <c r="L17" s="679"/>
      <c r="M17" s="679"/>
      <c r="N17" s="679"/>
    </row>
    <row r="18" spans="2:14" ht="12.75">
      <c r="B18" s="689" t="s">
        <v>449</v>
      </c>
      <c r="C18" s="689"/>
      <c r="D18" s="689"/>
      <c r="E18" s="689"/>
      <c r="F18" s="689"/>
      <c r="G18" s="689"/>
      <c r="H18" s="689"/>
      <c r="I18" s="689"/>
      <c r="J18" s="689"/>
      <c r="K18" s="679"/>
      <c r="L18" s="679"/>
      <c r="M18" s="679"/>
      <c r="N18" s="679"/>
    </row>
    <row r="19" spans="2:14" ht="12.75">
      <c r="B19" s="688" t="s">
        <v>231</v>
      </c>
      <c r="C19" s="688"/>
      <c r="D19" s="688"/>
      <c r="E19" s="688"/>
      <c r="F19" s="688"/>
      <c r="G19" s="688"/>
      <c r="H19" s="688"/>
      <c r="I19" s="688"/>
      <c r="J19" s="688"/>
      <c r="K19" s="677">
        <f>SUM(K17:L18)</f>
        <v>0</v>
      </c>
      <c r="L19" s="677"/>
      <c r="M19" s="677">
        <f>SUM(M17:N18)</f>
        <v>0</v>
      </c>
      <c r="N19" s="677"/>
    </row>
    <row r="20" spans="2:14" ht="14.25">
      <c r="B20" s="692" t="s">
        <v>455</v>
      </c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</row>
    <row r="21" spans="2:20" ht="12.75">
      <c r="B21" s="687" t="s">
        <v>281</v>
      </c>
      <c r="C21" s="687"/>
      <c r="D21" s="687"/>
      <c r="E21" s="687"/>
      <c r="F21" s="687"/>
      <c r="G21" s="687"/>
      <c r="H21" s="687"/>
      <c r="I21" s="687"/>
      <c r="J21" s="687"/>
      <c r="K21" s="693">
        <f>K2</f>
        <v>40451</v>
      </c>
      <c r="L21" s="693"/>
      <c r="M21" s="693" t="str">
        <f>M2</f>
        <v>31.12.2009 г.</v>
      </c>
      <c r="N21" s="693"/>
      <c r="P21" s="681">
        <f>IF(AND(S22="",S24=""),"","Разлика между СПРАВКАТА и ПРИЛОЖЕНИЕ №1!")</f>
      </c>
      <c r="Q21" s="681"/>
      <c r="R21" s="681"/>
      <c r="S21" s="681"/>
      <c r="T21" s="681"/>
    </row>
    <row r="22" spans="2:20" ht="12.75">
      <c r="B22" s="689"/>
      <c r="C22" s="689"/>
      <c r="D22" s="689"/>
      <c r="E22" s="689"/>
      <c r="F22" s="689"/>
      <c r="G22" s="689"/>
      <c r="H22" s="689"/>
      <c r="I22" s="689"/>
      <c r="J22" s="689"/>
      <c r="K22" s="679"/>
      <c r="L22" s="679"/>
      <c r="M22" s="679"/>
      <c r="N22" s="679"/>
      <c r="P22" s="680">
        <f>IF(S22="","","Разлика текущ период:")</f>
      </c>
      <c r="Q22" s="680"/>
      <c r="R22" s="680"/>
      <c r="S22" s="405">
        <f>IF(K25=K7,"",K25-K7)</f>
      </c>
      <c r="T22" s="406"/>
    </row>
    <row r="23" spans="2:20" ht="12.75">
      <c r="B23" s="689" t="s">
        <v>456</v>
      </c>
      <c r="C23" s="689"/>
      <c r="D23" s="689"/>
      <c r="E23" s="689"/>
      <c r="F23" s="689"/>
      <c r="G23" s="689"/>
      <c r="H23" s="689"/>
      <c r="I23" s="689"/>
      <c r="J23" s="689"/>
      <c r="K23" s="679"/>
      <c r="L23" s="679"/>
      <c r="M23" s="679"/>
      <c r="N23" s="679"/>
      <c r="P23" s="678">
        <f>IF(S22="","","Сума по приложение №1:")</f>
      </c>
      <c r="Q23" s="678"/>
      <c r="R23" s="678"/>
      <c r="S23" s="407">
        <f>IF(K25=K7,"",K7)</f>
      </c>
      <c r="T23" s="406"/>
    </row>
    <row r="24" spans="2:20" ht="12.75">
      <c r="B24" s="689" t="s">
        <v>456</v>
      </c>
      <c r="C24" s="689"/>
      <c r="D24" s="689"/>
      <c r="E24" s="689"/>
      <c r="F24" s="689"/>
      <c r="G24" s="689"/>
      <c r="H24" s="689"/>
      <c r="I24" s="689"/>
      <c r="J24" s="689"/>
      <c r="K24" s="679"/>
      <c r="L24" s="679"/>
      <c r="M24" s="679"/>
      <c r="N24" s="679"/>
      <c r="P24" s="680">
        <f>IF(S24="","","Разлика предходен период:")</f>
      </c>
      <c r="Q24" s="680"/>
      <c r="R24" s="680"/>
      <c r="S24" s="405">
        <f>IF(M25=M7,"",M25-M7)</f>
      </c>
      <c r="T24" s="406"/>
    </row>
    <row r="25" spans="2:20" ht="12.75">
      <c r="B25" s="688" t="s">
        <v>231</v>
      </c>
      <c r="C25" s="688"/>
      <c r="D25" s="688"/>
      <c r="E25" s="688"/>
      <c r="F25" s="688"/>
      <c r="G25" s="688"/>
      <c r="H25" s="688"/>
      <c r="I25" s="688"/>
      <c r="J25" s="688"/>
      <c r="K25" s="677">
        <f>SUM(K22:L24)</f>
        <v>0</v>
      </c>
      <c r="L25" s="677"/>
      <c r="M25" s="677">
        <f>SUM(M22:N24)</f>
        <v>0</v>
      </c>
      <c r="N25" s="677"/>
      <c r="P25" s="678">
        <f>IF(S24="","","Сума по приложение №1:")</f>
      </c>
      <c r="Q25" s="678"/>
      <c r="R25" s="678"/>
      <c r="S25" s="407">
        <f>IF(M25=M7,"",M7)</f>
      </c>
      <c r="T25" s="406"/>
    </row>
    <row r="26" spans="2:14" ht="12.75"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</row>
    <row r="28" spans="2:14" ht="14.25">
      <c r="B28" s="686" t="s">
        <v>457</v>
      </c>
      <c r="C28" s="686"/>
      <c r="D28" s="686"/>
      <c r="E28" s="686"/>
      <c r="F28" s="686"/>
      <c r="G28" s="686"/>
      <c r="H28" s="686"/>
      <c r="I28" s="686"/>
      <c r="J28" s="686"/>
      <c r="K28" s="686"/>
      <c r="L28" s="686"/>
      <c r="M28" s="686"/>
      <c r="N28" s="686"/>
    </row>
    <row r="29" spans="2:14" ht="12.75">
      <c r="B29" s="684" t="s">
        <v>157</v>
      </c>
      <c r="C29" s="684"/>
      <c r="D29" s="684"/>
      <c r="E29" s="684"/>
      <c r="F29" s="684"/>
      <c r="G29" s="684"/>
      <c r="H29" s="684"/>
      <c r="I29" s="684"/>
      <c r="J29" s="684"/>
      <c r="K29" s="702">
        <f>K2</f>
        <v>40451</v>
      </c>
      <c r="L29" s="702"/>
      <c r="M29" s="702" t="str">
        <f>M2</f>
        <v>31.12.2009 г.</v>
      </c>
      <c r="N29" s="702"/>
    </row>
    <row r="30" spans="2:14" ht="12.75">
      <c r="B30" s="684"/>
      <c r="C30" s="684"/>
      <c r="D30" s="684"/>
      <c r="E30" s="684"/>
      <c r="F30" s="684"/>
      <c r="G30" s="684"/>
      <c r="H30" s="684"/>
      <c r="I30" s="684"/>
      <c r="J30" s="684"/>
      <c r="K30" s="702"/>
      <c r="L30" s="702"/>
      <c r="M30" s="702"/>
      <c r="N30" s="702"/>
    </row>
    <row r="31" spans="2:20" ht="12.75">
      <c r="B31" s="689" t="s">
        <v>447</v>
      </c>
      <c r="C31" s="689"/>
      <c r="D31" s="689"/>
      <c r="E31" s="689"/>
      <c r="F31" s="689"/>
      <c r="G31" s="689"/>
      <c r="H31" s="689"/>
      <c r="I31" s="689"/>
      <c r="J31" s="689"/>
      <c r="K31" s="679"/>
      <c r="L31" s="679"/>
      <c r="M31" s="679"/>
      <c r="N31" s="679"/>
      <c r="P31" s="681" t="str">
        <f>IF(AND(S32="",S34=""),"","Разлика между БАЛАНСА и ПРИЛОЖЕНИЕТО!")</f>
        <v>Разлика между БАЛАНСА и ПРИЛОЖЕНИЕТО!</v>
      </c>
      <c r="Q31" s="681"/>
      <c r="R31" s="681"/>
      <c r="S31" s="681"/>
      <c r="T31" s="681"/>
    </row>
    <row r="32" spans="2:20" ht="12.75">
      <c r="B32" s="689" t="s">
        <v>448</v>
      </c>
      <c r="C32" s="689"/>
      <c r="D32" s="689"/>
      <c r="E32" s="689"/>
      <c r="F32" s="689"/>
      <c r="G32" s="689"/>
      <c r="H32" s="689"/>
      <c r="I32" s="689"/>
      <c r="J32" s="689"/>
      <c r="K32" s="679">
        <v>2648</v>
      </c>
      <c r="L32" s="679"/>
      <c r="M32" s="679"/>
      <c r="N32" s="679"/>
      <c r="P32" s="680" t="str">
        <f>IF(S32="","","Разлика текущ период:")</f>
        <v>Разлика текущ период:</v>
      </c>
      <c r="Q32" s="680"/>
      <c r="R32" s="680"/>
      <c r="S32" s="405">
        <f>IF(K35=баланс!E84,"",K35-баланс!E84)</f>
        <v>2942</v>
      </c>
      <c r="T32" s="406"/>
    </row>
    <row r="33" spans="2:20" ht="12.75">
      <c r="B33" s="689" t="s">
        <v>449</v>
      </c>
      <c r="C33" s="689"/>
      <c r="D33" s="689"/>
      <c r="E33" s="689"/>
      <c r="F33" s="689"/>
      <c r="G33" s="689"/>
      <c r="H33" s="689"/>
      <c r="I33" s="689"/>
      <c r="J33" s="689"/>
      <c r="K33" s="679">
        <v>294</v>
      </c>
      <c r="L33" s="679"/>
      <c r="M33" s="679"/>
      <c r="N33" s="679"/>
      <c r="P33" s="678" t="str">
        <f>IF(S32="","","Сума по баланс:")</f>
        <v>Сума по баланс:</v>
      </c>
      <c r="Q33" s="678"/>
      <c r="R33" s="678"/>
      <c r="S33" s="407">
        <f>IF(S32="","",баланс!E84)</f>
        <v>0</v>
      </c>
      <c r="T33" s="406"/>
    </row>
    <row r="34" spans="2:20" ht="12.75">
      <c r="B34" s="689" t="s">
        <v>450</v>
      </c>
      <c r="C34" s="689"/>
      <c r="D34" s="689"/>
      <c r="E34" s="689"/>
      <c r="F34" s="689"/>
      <c r="G34" s="689"/>
      <c r="H34" s="689"/>
      <c r="I34" s="689"/>
      <c r="J34" s="689"/>
      <c r="K34" s="679"/>
      <c r="L34" s="679"/>
      <c r="M34" s="679"/>
      <c r="N34" s="679"/>
      <c r="P34" s="680" t="str">
        <f>IF(S34="","","Разлика предходен период:")</f>
        <v>Разлика предходен период:</v>
      </c>
      <c r="Q34" s="680"/>
      <c r="R34" s="680"/>
      <c r="S34" s="405">
        <f>IF(M35=баланс!G84,"",M35-баланс!G84)</f>
        <v>-3058</v>
      </c>
      <c r="T34" s="406"/>
    </row>
    <row r="35" spans="2:20" ht="12.75">
      <c r="B35" s="688" t="s">
        <v>231</v>
      </c>
      <c r="C35" s="688"/>
      <c r="D35" s="688"/>
      <c r="E35" s="688"/>
      <c r="F35" s="688"/>
      <c r="G35" s="688"/>
      <c r="H35" s="688"/>
      <c r="I35" s="688"/>
      <c r="J35" s="688"/>
      <c r="K35" s="677">
        <f>SUM(K31:L34)</f>
        <v>2942</v>
      </c>
      <c r="L35" s="677"/>
      <c r="M35" s="677">
        <f>SUM(M31:N34)</f>
        <v>0</v>
      </c>
      <c r="N35" s="677"/>
      <c r="P35" s="678" t="str">
        <f>IF(S34="","","Сума по баланс:")</f>
        <v>Сума по баланс:</v>
      </c>
      <c r="Q35" s="678"/>
      <c r="R35" s="678"/>
      <c r="S35" s="407">
        <f>IF(S34="","",баланс!G84)</f>
        <v>3058</v>
      </c>
      <c r="T35" s="406"/>
    </row>
    <row r="36" spans="2:14" ht="14.25">
      <c r="B36" s="692" t="s">
        <v>298</v>
      </c>
      <c r="C36" s="692"/>
      <c r="D36" s="692"/>
      <c r="E36" s="692"/>
      <c r="F36" s="692"/>
      <c r="G36" s="692"/>
      <c r="H36" s="692"/>
      <c r="I36" s="692"/>
      <c r="J36" s="692"/>
      <c r="K36" s="692"/>
      <c r="L36" s="692"/>
      <c r="M36" s="692"/>
      <c r="N36" s="692"/>
    </row>
    <row r="37" spans="2:20" ht="12.75">
      <c r="B37" s="687" t="s">
        <v>281</v>
      </c>
      <c r="C37" s="687"/>
      <c r="D37" s="687"/>
      <c r="E37" s="687"/>
      <c r="F37" s="687"/>
      <c r="G37" s="687"/>
      <c r="H37" s="687"/>
      <c r="I37" s="687"/>
      <c r="J37" s="687"/>
      <c r="K37" s="693">
        <f>K29</f>
        <v>40451</v>
      </c>
      <c r="L37" s="693"/>
      <c r="M37" s="693" t="str">
        <f>M29</f>
        <v>31.12.2009 г.</v>
      </c>
      <c r="N37" s="693"/>
      <c r="P37" s="681">
        <f>IF(AND(S38="",S40=""),"","Разлика между СПРАВКАТА и ПРИЛОЖЕНИЕ №2!")</f>
      </c>
      <c r="Q37" s="681"/>
      <c r="R37" s="681"/>
      <c r="S37" s="681"/>
      <c r="T37" s="681"/>
    </row>
    <row r="38" spans="2:20" ht="12.75">
      <c r="B38" s="689" t="s">
        <v>451</v>
      </c>
      <c r="C38" s="689"/>
      <c r="D38" s="689"/>
      <c r="E38" s="689"/>
      <c r="F38" s="689"/>
      <c r="G38" s="689"/>
      <c r="H38" s="689"/>
      <c r="I38" s="689"/>
      <c r="J38" s="689"/>
      <c r="K38" s="679"/>
      <c r="L38" s="679"/>
      <c r="M38" s="679"/>
      <c r="N38" s="679"/>
      <c r="P38" s="680">
        <f>IF(S38="","","Разлика текущ период:")</f>
      </c>
      <c r="Q38" s="680"/>
      <c r="R38" s="680"/>
      <c r="S38" s="405">
        <f>IF(K41=K32,"",K41-K32)</f>
      </c>
      <c r="T38" s="406"/>
    </row>
    <row r="39" spans="2:20" ht="12.75">
      <c r="B39" s="689" t="s">
        <v>452</v>
      </c>
      <c r="C39" s="689"/>
      <c r="D39" s="689"/>
      <c r="E39" s="689"/>
      <c r="F39" s="689"/>
      <c r="G39" s="689"/>
      <c r="H39" s="689"/>
      <c r="I39" s="689"/>
      <c r="J39" s="689"/>
      <c r="K39" s="679">
        <v>2648</v>
      </c>
      <c r="L39" s="679"/>
      <c r="M39" s="679"/>
      <c r="N39" s="679"/>
      <c r="P39" s="678">
        <f>IF(S38="","","Сума по приложение №2:")</f>
      </c>
      <c r="Q39" s="678"/>
      <c r="R39" s="678"/>
      <c r="S39" s="407">
        <f>IF(K41=K32,"",K32)</f>
      </c>
      <c r="T39" s="406"/>
    </row>
    <row r="40" spans="2:20" ht="12.75">
      <c r="B40" s="689" t="s">
        <v>453</v>
      </c>
      <c r="C40" s="689"/>
      <c r="D40" s="689"/>
      <c r="E40" s="689"/>
      <c r="F40" s="689"/>
      <c r="G40" s="689"/>
      <c r="H40" s="689"/>
      <c r="I40" s="689"/>
      <c r="J40" s="689"/>
      <c r="K40" s="679"/>
      <c r="L40" s="679"/>
      <c r="M40" s="679"/>
      <c r="N40" s="679"/>
      <c r="P40" s="680">
        <f>IF(S40="","","Разлика предходен период:")</f>
      </c>
      <c r="Q40" s="680"/>
      <c r="R40" s="680"/>
      <c r="S40" s="405">
        <f>IF(M41=M32,"",M41-M32)</f>
      </c>
      <c r="T40" s="406"/>
    </row>
    <row r="41" spans="2:20" ht="12.75">
      <c r="B41" s="688" t="s">
        <v>231</v>
      </c>
      <c r="C41" s="688"/>
      <c r="D41" s="688"/>
      <c r="E41" s="688"/>
      <c r="F41" s="688"/>
      <c r="G41" s="688"/>
      <c r="H41" s="688"/>
      <c r="I41" s="688"/>
      <c r="J41" s="688"/>
      <c r="K41" s="677">
        <f>SUM(K38:L40)</f>
        <v>2648</v>
      </c>
      <c r="L41" s="677"/>
      <c r="M41" s="677">
        <f>SUM(M38:N40)</f>
        <v>0</v>
      </c>
      <c r="N41" s="677"/>
      <c r="P41" s="678">
        <f>IF(S40="","","Сума по приложение №2:")</f>
      </c>
      <c r="Q41" s="678"/>
      <c r="R41" s="678"/>
      <c r="S41" s="407">
        <f>IF(M41=M32,"",M32)</f>
      </c>
      <c r="T41" s="406"/>
    </row>
    <row r="42" spans="2:14" ht="14.25">
      <c r="B42" s="692" t="s">
        <v>299</v>
      </c>
      <c r="C42" s="692"/>
      <c r="D42" s="692"/>
      <c r="E42" s="692"/>
      <c r="F42" s="692"/>
      <c r="G42" s="692"/>
      <c r="H42" s="692"/>
      <c r="I42" s="692"/>
      <c r="J42" s="692"/>
      <c r="K42" s="692"/>
      <c r="L42" s="692"/>
      <c r="M42" s="692"/>
      <c r="N42" s="692"/>
    </row>
    <row r="43" spans="2:14" ht="12.75">
      <c r="B43" s="687" t="s">
        <v>281</v>
      </c>
      <c r="C43" s="687"/>
      <c r="D43" s="687"/>
      <c r="E43" s="687"/>
      <c r="F43" s="687"/>
      <c r="G43" s="687"/>
      <c r="H43" s="687"/>
      <c r="I43" s="687"/>
      <c r="J43" s="687"/>
      <c r="K43" s="693">
        <f>K29</f>
        <v>40451</v>
      </c>
      <c r="L43" s="693"/>
      <c r="M43" s="693" t="str">
        <f>M29</f>
        <v>31.12.2009 г.</v>
      </c>
      <c r="N43" s="693"/>
    </row>
    <row r="44" spans="2:14" ht="12.75">
      <c r="B44" s="689" t="s">
        <v>454</v>
      </c>
      <c r="C44" s="689"/>
      <c r="D44" s="689"/>
      <c r="E44" s="689"/>
      <c r="F44" s="689"/>
      <c r="G44" s="689"/>
      <c r="H44" s="689"/>
      <c r="I44" s="689"/>
      <c r="J44" s="689"/>
      <c r="K44" s="679"/>
      <c r="L44" s="679"/>
      <c r="M44" s="679"/>
      <c r="N44" s="679"/>
    </row>
    <row r="45" spans="2:14" ht="12.75">
      <c r="B45" s="689" t="s">
        <v>449</v>
      </c>
      <c r="C45" s="689"/>
      <c r="D45" s="689"/>
      <c r="E45" s="689"/>
      <c r="F45" s="689"/>
      <c r="G45" s="689"/>
      <c r="H45" s="689"/>
      <c r="I45" s="689"/>
      <c r="J45" s="689"/>
      <c r="K45" s="679"/>
      <c r="L45" s="679"/>
      <c r="M45" s="679"/>
      <c r="N45" s="679"/>
    </row>
    <row r="46" spans="2:14" ht="12.75">
      <c r="B46" s="688" t="s">
        <v>231</v>
      </c>
      <c r="C46" s="688"/>
      <c r="D46" s="688"/>
      <c r="E46" s="688"/>
      <c r="F46" s="688"/>
      <c r="G46" s="688"/>
      <c r="H46" s="688"/>
      <c r="I46" s="688"/>
      <c r="J46" s="688"/>
      <c r="K46" s="677">
        <f>SUM(K44:L45)</f>
        <v>0</v>
      </c>
      <c r="L46" s="677"/>
      <c r="M46" s="677">
        <f>SUM(M44:N45)</f>
        <v>0</v>
      </c>
      <c r="N46" s="677"/>
    </row>
    <row r="47" spans="2:14" ht="14.25">
      <c r="B47" s="692" t="s">
        <v>458</v>
      </c>
      <c r="C47" s="692"/>
      <c r="D47" s="692"/>
      <c r="E47" s="692"/>
      <c r="F47" s="692"/>
      <c r="G47" s="692"/>
      <c r="H47" s="692"/>
      <c r="I47" s="692"/>
      <c r="J47" s="692"/>
      <c r="K47" s="692"/>
      <c r="L47" s="692"/>
      <c r="M47" s="692"/>
      <c r="N47" s="692"/>
    </row>
    <row r="48" spans="2:20" ht="12.75">
      <c r="B48" s="687" t="s">
        <v>281</v>
      </c>
      <c r="C48" s="687"/>
      <c r="D48" s="687"/>
      <c r="E48" s="687"/>
      <c r="F48" s="687"/>
      <c r="G48" s="687"/>
      <c r="H48" s="687"/>
      <c r="I48" s="687"/>
      <c r="J48" s="687"/>
      <c r="K48" s="693">
        <f>K29</f>
        <v>40451</v>
      </c>
      <c r="L48" s="693"/>
      <c r="M48" s="693" t="str">
        <f>M29</f>
        <v>31.12.2009 г.</v>
      </c>
      <c r="N48" s="693"/>
      <c r="P48" s="681">
        <f>IF(AND(S49="",S51=""),"","Разлика между СПРАВКАТА и ПРИЛОЖЕНИЕ №2!")</f>
      </c>
      <c r="Q48" s="681"/>
      <c r="R48" s="681"/>
      <c r="S48" s="681"/>
      <c r="T48" s="681"/>
    </row>
    <row r="49" spans="2:20" ht="12.75">
      <c r="B49" s="689" t="s">
        <v>456</v>
      </c>
      <c r="C49" s="689"/>
      <c r="D49" s="689"/>
      <c r="E49" s="689"/>
      <c r="F49" s="689"/>
      <c r="G49" s="689"/>
      <c r="H49" s="689"/>
      <c r="I49" s="689"/>
      <c r="J49" s="689"/>
      <c r="K49" s="679"/>
      <c r="L49" s="679"/>
      <c r="M49" s="679"/>
      <c r="N49" s="679"/>
      <c r="P49" s="680">
        <f>IF(S49="","","Разлика текущ период:")</f>
      </c>
      <c r="Q49" s="680"/>
      <c r="R49" s="680"/>
      <c r="S49" s="405">
        <f>IF(K52=K34,"",K52-K34)</f>
      </c>
      <c r="T49" s="406"/>
    </row>
    <row r="50" spans="2:20" ht="12.75">
      <c r="B50" s="689" t="s">
        <v>456</v>
      </c>
      <c r="C50" s="689"/>
      <c r="D50" s="689"/>
      <c r="E50" s="689"/>
      <c r="F50" s="689"/>
      <c r="G50" s="689"/>
      <c r="H50" s="689"/>
      <c r="I50" s="689"/>
      <c r="J50" s="689"/>
      <c r="K50" s="679"/>
      <c r="L50" s="679"/>
      <c r="M50" s="679"/>
      <c r="N50" s="679"/>
      <c r="P50" s="678">
        <f>IF(S49="","","Сума по приложение №2:")</f>
      </c>
      <c r="Q50" s="678"/>
      <c r="R50" s="678"/>
      <c r="S50" s="407">
        <f>IF(K52=K34,"",K34)</f>
      </c>
      <c r="T50" s="406"/>
    </row>
    <row r="51" spans="2:20" ht="12.75">
      <c r="B51" s="689" t="s">
        <v>456</v>
      </c>
      <c r="C51" s="689"/>
      <c r="D51" s="689"/>
      <c r="E51" s="689"/>
      <c r="F51" s="689"/>
      <c r="G51" s="689"/>
      <c r="H51" s="689"/>
      <c r="I51" s="689"/>
      <c r="J51" s="689"/>
      <c r="K51" s="679"/>
      <c r="L51" s="679"/>
      <c r="M51" s="679"/>
      <c r="N51" s="679"/>
      <c r="P51" s="680">
        <f>IF(S51="","","Разлика предходен период:")</f>
      </c>
      <c r="Q51" s="680"/>
      <c r="R51" s="680"/>
      <c r="S51" s="405">
        <f>IF(M52=M34,"",M52-M34)</f>
      </c>
      <c r="T51" s="406"/>
    </row>
    <row r="52" spans="2:20" ht="12.75">
      <c r="B52" s="688" t="s">
        <v>231</v>
      </c>
      <c r="C52" s="688"/>
      <c r="D52" s="688"/>
      <c r="E52" s="688"/>
      <c r="F52" s="688"/>
      <c r="G52" s="688"/>
      <c r="H52" s="688"/>
      <c r="I52" s="688"/>
      <c r="J52" s="688"/>
      <c r="K52" s="677">
        <f>SUM(K49:L51)</f>
        <v>0</v>
      </c>
      <c r="L52" s="677"/>
      <c r="M52" s="677">
        <f>SUM(M49:N51)</f>
        <v>0</v>
      </c>
      <c r="N52" s="677"/>
      <c r="P52" s="678">
        <f>IF(S51="","","Сума по приложение №2:")</f>
      </c>
      <c r="Q52" s="678"/>
      <c r="R52" s="678"/>
      <c r="S52" s="407">
        <f>IF(M52=M34,"",M34)</f>
      </c>
      <c r="T52" s="406"/>
    </row>
    <row r="53" spans="2:14" ht="12.75">
      <c r="B53" s="725"/>
      <c r="C53" s="725"/>
      <c r="D53" s="725"/>
      <c r="E53" s="725"/>
      <c r="F53" s="725"/>
      <c r="G53" s="725"/>
      <c r="H53" s="725"/>
      <c r="I53" s="725"/>
      <c r="J53" s="725"/>
      <c r="K53" s="725"/>
      <c r="L53" s="725"/>
      <c r="M53" s="725"/>
      <c r="N53" s="725"/>
    </row>
    <row r="54" spans="2:14" ht="12.75">
      <c r="B54" s="483"/>
      <c r="C54" s="483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83"/>
    </row>
    <row r="55" spans="2:14" ht="14.25">
      <c r="B55" s="686" t="s">
        <v>459</v>
      </c>
      <c r="C55" s="686"/>
      <c r="D55" s="686"/>
      <c r="E55" s="686"/>
      <c r="F55" s="686"/>
      <c r="G55" s="686"/>
      <c r="H55" s="686"/>
      <c r="I55" s="686"/>
      <c r="J55" s="686"/>
      <c r="K55" s="686"/>
      <c r="L55" s="686"/>
      <c r="M55" s="686"/>
      <c r="N55" s="686"/>
    </row>
    <row r="56" spans="2:14" ht="12.75">
      <c r="B56" s="687" t="s">
        <v>460</v>
      </c>
      <c r="C56" s="687"/>
      <c r="D56" s="687"/>
      <c r="E56" s="687"/>
      <c r="F56" s="687"/>
      <c r="G56" s="414" t="s">
        <v>302</v>
      </c>
      <c r="H56" s="414" t="s">
        <v>303</v>
      </c>
      <c r="I56" s="414" t="s">
        <v>304</v>
      </c>
      <c r="J56" s="687" t="s">
        <v>305</v>
      </c>
      <c r="K56" s="687"/>
      <c r="L56" s="687"/>
      <c r="M56" s="687"/>
      <c r="N56" s="687"/>
    </row>
    <row r="57" spans="2:14" ht="12.75">
      <c r="B57" s="682"/>
      <c r="C57" s="682"/>
      <c r="D57" s="682"/>
      <c r="E57" s="682"/>
      <c r="F57" s="682"/>
      <c r="G57" s="308"/>
      <c r="H57" s="415"/>
      <c r="I57" s="308"/>
      <c r="J57" s="682"/>
      <c r="K57" s="682"/>
      <c r="L57" s="682"/>
      <c r="M57" s="682"/>
      <c r="N57" s="682"/>
    </row>
    <row r="58" spans="2:14" ht="12.75">
      <c r="B58" s="682"/>
      <c r="C58" s="682"/>
      <c r="D58" s="682"/>
      <c r="E58" s="682"/>
      <c r="F58" s="682"/>
      <c r="G58" s="308"/>
      <c r="H58" s="415"/>
      <c r="I58" s="308"/>
      <c r="J58" s="682"/>
      <c r="K58" s="682"/>
      <c r="L58" s="682"/>
      <c r="M58" s="682"/>
      <c r="N58" s="682"/>
    </row>
    <row r="59" spans="2:14" ht="12.75">
      <c r="B59" s="682"/>
      <c r="C59" s="682"/>
      <c r="D59" s="682"/>
      <c r="E59" s="682"/>
      <c r="F59" s="682"/>
      <c r="G59" s="308"/>
      <c r="H59" s="415"/>
      <c r="I59" s="308"/>
      <c r="J59" s="682"/>
      <c r="K59" s="682"/>
      <c r="L59" s="682"/>
      <c r="M59" s="682"/>
      <c r="N59" s="682"/>
    </row>
    <row r="60" spans="2:14" ht="12.75">
      <c r="B60" s="682"/>
      <c r="C60" s="682"/>
      <c r="D60" s="682"/>
      <c r="E60" s="682"/>
      <c r="F60" s="682"/>
      <c r="G60" s="308"/>
      <c r="H60" s="415"/>
      <c r="I60" s="308"/>
      <c r="J60" s="682"/>
      <c r="K60" s="682"/>
      <c r="L60" s="682"/>
      <c r="M60" s="682"/>
      <c r="N60" s="682"/>
    </row>
    <row r="61" spans="2:14" ht="12.75">
      <c r="B61" s="682"/>
      <c r="C61" s="682"/>
      <c r="D61" s="682"/>
      <c r="E61" s="682"/>
      <c r="F61" s="682"/>
      <c r="G61" s="308"/>
      <c r="H61" s="415"/>
      <c r="I61" s="308"/>
      <c r="J61" s="682"/>
      <c r="K61" s="682"/>
      <c r="L61" s="682"/>
      <c r="M61" s="682"/>
      <c r="N61" s="682"/>
    </row>
    <row r="62" spans="2:14" ht="12.75">
      <c r="B62" s="682"/>
      <c r="C62" s="682"/>
      <c r="D62" s="682"/>
      <c r="E62" s="682"/>
      <c r="F62" s="682"/>
      <c r="G62" s="308"/>
      <c r="H62" s="415"/>
      <c r="I62" s="308"/>
      <c r="J62" s="682"/>
      <c r="K62" s="682"/>
      <c r="L62" s="682"/>
      <c r="M62" s="682"/>
      <c r="N62" s="682"/>
    </row>
    <row r="63" spans="2:14" ht="12.75">
      <c r="B63" s="682"/>
      <c r="C63" s="682"/>
      <c r="D63" s="682"/>
      <c r="E63" s="682"/>
      <c r="F63" s="682"/>
      <c r="G63" s="308"/>
      <c r="H63" s="415"/>
      <c r="I63" s="308"/>
      <c r="J63" s="682"/>
      <c r="K63" s="682"/>
      <c r="L63" s="682"/>
      <c r="M63" s="682"/>
      <c r="N63" s="682"/>
    </row>
    <row r="64" spans="2:14" ht="12.75">
      <c r="B64" s="682"/>
      <c r="C64" s="682"/>
      <c r="D64" s="682"/>
      <c r="E64" s="682"/>
      <c r="F64" s="682"/>
      <c r="G64" s="308"/>
      <c r="H64" s="415"/>
      <c r="I64" s="308"/>
      <c r="J64" s="682"/>
      <c r="K64" s="682"/>
      <c r="L64" s="682"/>
      <c r="M64" s="682"/>
      <c r="N64" s="682"/>
    </row>
    <row r="65" spans="2:14" ht="12.75">
      <c r="B65" s="682"/>
      <c r="C65" s="682"/>
      <c r="D65" s="682"/>
      <c r="E65" s="682"/>
      <c r="F65" s="682"/>
      <c r="G65" s="308"/>
      <c r="H65" s="415"/>
      <c r="I65" s="308"/>
      <c r="J65" s="682"/>
      <c r="K65" s="682"/>
      <c r="L65" s="682"/>
      <c r="M65" s="682"/>
      <c r="N65" s="682"/>
    </row>
    <row r="66" spans="2:14" ht="12.75">
      <c r="B66" s="682"/>
      <c r="C66" s="682"/>
      <c r="D66" s="682"/>
      <c r="E66" s="682"/>
      <c r="F66" s="682"/>
      <c r="G66" s="308"/>
      <c r="H66" s="415"/>
      <c r="I66" s="308"/>
      <c r="J66" s="682"/>
      <c r="K66" s="682"/>
      <c r="L66" s="682"/>
      <c r="M66" s="682"/>
      <c r="N66" s="682"/>
    </row>
    <row r="67" spans="2:14" ht="14.25">
      <c r="B67" s="686" t="s">
        <v>461</v>
      </c>
      <c r="C67" s="686"/>
      <c r="D67" s="686"/>
      <c r="E67" s="686"/>
      <c r="F67" s="686"/>
      <c r="G67" s="686"/>
      <c r="H67" s="686"/>
      <c r="I67" s="686"/>
      <c r="J67" s="686"/>
      <c r="K67" s="686"/>
      <c r="L67" s="686"/>
      <c r="M67" s="686"/>
      <c r="N67" s="686"/>
    </row>
    <row r="68" spans="2:18" ht="12.75" customHeight="1">
      <c r="B68" s="684" t="s">
        <v>460</v>
      </c>
      <c r="C68" s="684"/>
      <c r="D68" s="684"/>
      <c r="E68" s="684"/>
      <c r="F68" s="684"/>
      <c r="G68" s="684"/>
      <c r="H68" s="684"/>
      <c r="I68" s="684"/>
      <c r="J68" s="684"/>
      <c r="K68" s="685" t="s">
        <v>462</v>
      </c>
      <c r="L68" s="685"/>
      <c r="M68" s="685" t="s">
        <v>463</v>
      </c>
      <c r="N68" s="685"/>
      <c r="O68" s="413"/>
      <c r="P68" s="413"/>
      <c r="Q68" s="413"/>
      <c r="R68" s="413"/>
    </row>
    <row r="69" spans="2:18" ht="12.75">
      <c r="B69" s="684"/>
      <c r="C69" s="684"/>
      <c r="D69" s="684"/>
      <c r="E69" s="684"/>
      <c r="F69" s="684"/>
      <c r="G69" s="684"/>
      <c r="H69" s="684"/>
      <c r="I69" s="684"/>
      <c r="J69" s="684"/>
      <c r="K69" s="685"/>
      <c r="L69" s="685"/>
      <c r="M69" s="685"/>
      <c r="N69" s="685"/>
      <c r="O69" s="413"/>
      <c r="P69" s="413"/>
      <c r="Q69" s="413"/>
      <c r="R69" s="413"/>
    </row>
    <row r="70" spans="2:18" ht="12.75">
      <c r="B70" s="724"/>
      <c r="C70" s="724"/>
      <c r="D70" s="724"/>
      <c r="E70" s="724"/>
      <c r="F70" s="724"/>
      <c r="G70" s="724"/>
      <c r="H70" s="724"/>
      <c r="I70" s="724"/>
      <c r="J70" s="724"/>
      <c r="K70" s="679"/>
      <c r="L70" s="679"/>
      <c r="M70" s="679"/>
      <c r="N70" s="679"/>
      <c r="O70" s="413"/>
      <c r="P70" s="413"/>
      <c r="Q70" s="413"/>
      <c r="R70" s="413"/>
    </row>
    <row r="71" spans="2:18" ht="12.75">
      <c r="B71" s="724"/>
      <c r="C71" s="724"/>
      <c r="D71" s="724"/>
      <c r="E71" s="724"/>
      <c r="F71" s="724"/>
      <c r="G71" s="724"/>
      <c r="H71" s="724"/>
      <c r="I71" s="724"/>
      <c r="J71" s="724"/>
      <c r="K71" s="679"/>
      <c r="L71" s="679"/>
      <c r="M71" s="679"/>
      <c r="N71" s="679"/>
      <c r="O71" s="413"/>
      <c r="P71" s="413"/>
      <c r="Q71" s="413"/>
      <c r="R71" s="413"/>
    </row>
    <row r="72" spans="2:18" ht="12.75">
      <c r="B72" s="724"/>
      <c r="C72" s="724"/>
      <c r="D72" s="724"/>
      <c r="E72" s="724"/>
      <c r="F72" s="724"/>
      <c r="G72" s="724"/>
      <c r="H72" s="724"/>
      <c r="I72" s="724"/>
      <c r="J72" s="724"/>
      <c r="K72" s="679"/>
      <c r="L72" s="679"/>
      <c r="M72" s="679"/>
      <c r="N72" s="679"/>
      <c r="O72" s="413"/>
      <c r="P72" s="413"/>
      <c r="Q72" s="413"/>
      <c r="R72" s="413"/>
    </row>
    <row r="73" spans="2:18" ht="12.75">
      <c r="B73" s="724"/>
      <c r="C73" s="724"/>
      <c r="D73" s="724"/>
      <c r="E73" s="724"/>
      <c r="F73" s="724"/>
      <c r="G73" s="724"/>
      <c r="H73" s="724"/>
      <c r="I73" s="724"/>
      <c r="J73" s="724"/>
      <c r="K73" s="679"/>
      <c r="L73" s="679"/>
      <c r="M73" s="679"/>
      <c r="N73" s="679"/>
      <c r="O73" s="413"/>
      <c r="P73" s="413"/>
      <c r="Q73" s="413"/>
      <c r="R73" s="413"/>
    </row>
    <row r="74" spans="2:18" ht="12.75">
      <c r="B74" s="724"/>
      <c r="C74" s="724"/>
      <c r="D74" s="724"/>
      <c r="E74" s="724"/>
      <c r="F74" s="724"/>
      <c r="G74" s="724"/>
      <c r="H74" s="724"/>
      <c r="I74" s="724"/>
      <c r="J74" s="724"/>
      <c r="K74" s="679"/>
      <c r="L74" s="679"/>
      <c r="M74" s="679"/>
      <c r="N74" s="679"/>
      <c r="O74" s="413"/>
      <c r="P74" s="413"/>
      <c r="Q74" s="413"/>
      <c r="R74" s="413"/>
    </row>
    <row r="75" spans="2:18" ht="12.75">
      <c r="B75" s="724"/>
      <c r="C75" s="724"/>
      <c r="D75" s="724"/>
      <c r="E75" s="724"/>
      <c r="F75" s="724"/>
      <c r="G75" s="724"/>
      <c r="H75" s="724"/>
      <c r="I75" s="724"/>
      <c r="J75" s="724"/>
      <c r="K75" s="679"/>
      <c r="L75" s="679"/>
      <c r="M75" s="679"/>
      <c r="N75" s="679"/>
      <c r="O75" s="413"/>
      <c r="P75" s="413"/>
      <c r="Q75" s="413"/>
      <c r="R75" s="413"/>
    </row>
    <row r="76" spans="2:20" ht="12.75">
      <c r="B76" s="724"/>
      <c r="C76" s="724"/>
      <c r="D76" s="724"/>
      <c r="E76" s="724"/>
      <c r="F76" s="724"/>
      <c r="G76" s="724"/>
      <c r="H76" s="724"/>
      <c r="I76" s="724"/>
      <c r="J76" s="724"/>
      <c r="K76" s="679"/>
      <c r="L76" s="679"/>
      <c r="M76" s="679"/>
      <c r="N76" s="679"/>
      <c r="O76" s="413"/>
      <c r="P76" s="681">
        <f>IF(AND(S77="",S79=""),"","Разлика м/у ТАБ-ТА и СПРАВКИТЕ ЗА КРЕДИТИ")</f>
      </c>
      <c r="Q76" s="681"/>
      <c r="R76" s="681"/>
      <c r="S76" s="681"/>
      <c r="T76" s="681"/>
    </row>
    <row r="77" spans="2:20" ht="12.75">
      <c r="B77" s="724"/>
      <c r="C77" s="724"/>
      <c r="D77" s="724"/>
      <c r="E77" s="724"/>
      <c r="F77" s="724"/>
      <c r="G77" s="724"/>
      <c r="H77" s="724"/>
      <c r="I77" s="724"/>
      <c r="J77" s="724"/>
      <c r="K77" s="679"/>
      <c r="L77" s="679"/>
      <c r="M77" s="679"/>
      <c r="N77" s="679"/>
      <c r="O77" s="413"/>
      <c r="P77" s="680">
        <f>IF(S77="","","Разлика краткосрочна част:")</f>
      </c>
      <c r="Q77" s="680"/>
      <c r="R77" s="680"/>
      <c r="S77" s="405">
        <f>IF(K80=K40,"",K80-K40)</f>
      </c>
      <c r="T77" s="406"/>
    </row>
    <row r="78" spans="2:20" ht="12.75">
      <c r="B78" s="724"/>
      <c r="C78" s="724"/>
      <c r="D78" s="724"/>
      <c r="E78" s="724"/>
      <c r="F78" s="724"/>
      <c r="G78" s="724"/>
      <c r="H78" s="724"/>
      <c r="I78" s="724"/>
      <c r="J78" s="724"/>
      <c r="K78" s="679"/>
      <c r="L78" s="679"/>
      <c r="M78" s="679"/>
      <c r="N78" s="679"/>
      <c r="O78" s="413"/>
      <c r="P78" s="678">
        <f>IF(S77="","","Сума по кредити-текущи:")</f>
      </c>
      <c r="Q78" s="678"/>
      <c r="R78" s="678"/>
      <c r="S78" s="407">
        <f>IF(K80=K40,"",K40)</f>
      </c>
      <c r="T78" s="406"/>
    </row>
    <row r="79" spans="2:20" ht="12.75">
      <c r="B79" s="724"/>
      <c r="C79" s="724"/>
      <c r="D79" s="724"/>
      <c r="E79" s="724"/>
      <c r="F79" s="724"/>
      <c r="G79" s="724"/>
      <c r="H79" s="724"/>
      <c r="I79" s="724"/>
      <c r="J79" s="724"/>
      <c r="K79" s="679"/>
      <c r="L79" s="679"/>
      <c r="M79" s="679"/>
      <c r="N79" s="679"/>
      <c r="P79" s="680">
        <f>IF(S79="","","Разлика дългосрочна част:")</f>
      </c>
      <c r="Q79" s="680"/>
      <c r="R79" s="680"/>
      <c r="S79" s="405">
        <f>IF(M80=K13,"",M80-K13)</f>
      </c>
      <c r="T79" s="406"/>
    </row>
    <row r="80" spans="2:20" ht="12.75" customHeight="1">
      <c r="B80" s="676" t="s">
        <v>231</v>
      </c>
      <c r="C80" s="676"/>
      <c r="D80" s="676"/>
      <c r="E80" s="676"/>
      <c r="F80" s="676"/>
      <c r="G80" s="676"/>
      <c r="H80" s="676"/>
      <c r="I80" s="676"/>
      <c r="J80" s="676"/>
      <c r="K80" s="677">
        <f>SUM(K70:L79)</f>
        <v>0</v>
      </c>
      <c r="L80" s="677"/>
      <c r="M80" s="677">
        <f>SUM(M70:N79)</f>
        <v>0</v>
      </c>
      <c r="N80" s="677"/>
      <c r="P80" s="678">
        <f>IF(S79="","","Сума по кредити-нетекущи:")</f>
      </c>
      <c r="Q80" s="678"/>
      <c r="R80" s="678"/>
      <c r="S80" s="407">
        <f>IF(M80=K13,"",K13)</f>
      </c>
      <c r="T80" s="406"/>
    </row>
    <row r="82" spans="2:14" ht="14.25" hidden="1">
      <c r="B82" s="675" t="s">
        <v>309</v>
      </c>
      <c r="C82" s="675"/>
      <c r="D82" s="675"/>
      <c r="E82" s="675"/>
      <c r="F82" s="675"/>
      <c r="G82" s="675"/>
      <c r="H82" s="675"/>
      <c r="I82" s="675"/>
      <c r="J82" s="675"/>
      <c r="K82" s="675"/>
      <c r="L82" s="675"/>
      <c r="M82" s="419"/>
      <c r="N82" s="419"/>
    </row>
    <row r="83" spans="2:12" ht="12.75" hidden="1">
      <c r="B83" s="669" t="str">
        <f>CONCATENATE("Бъдещи минимални лизингови плащания към ",НАЧАЛО!AA1,".",НАЧАЛО!AB1,".",НАЧАЛО!AC1," г.")</f>
        <v>Бъдещи минимални лизингови плащания към 30.9.2010 г.</v>
      </c>
      <c r="C83" s="669"/>
      <c r="D83" s="669"/>
      <c r="E83" s="669"/>
      <c r="F83" s="669"/>
      <c r="G83" s="669"/>
      <c r="H83" s="669"/>
      <c r="I83" s="669"/>
      <c r="J83" s="669"/>
      <c r="K83" s="669"/>
      <c r="L83" s="669"/>
    </row>
    <row r="84" spans="2:12" ht="12.75" hidden="1">
      <c r="B84" s="673"/>
      <c r="C84" s="673"/>
      <c r="D84" s="673"/>
      <c r="E84" s="673"/>
      <c r="F84" s="673"/>
      <c r="G84" s="674" t="s">
        <v>310</v>
      </c>
      <c r="H84" s="674"/>
      <c r="I84" s="674" t="s">
        <v>311</v>
      </c>
      <c r="J84" s="674"/>
      <c r="K84" s="674" t="s">
        <v>231</v>
      </c>
      <c r="L84" s="674"/>
    </row>
    <row r="85" spans="2:12" ht="12.75" hidden="1">
      <c r="B85" s="670" t="s">
        <v>464</v>
      </c>
      <c r="C85" s="670"/>
      <c r="D85" s="670"/>
      <c r="E85" s="670"/>
      <c r="F85" s="670"/>
      <c r="G85" s="671"/>
      <c r="H85" s="671"/>
      <c r="I85" s="671"/>
      <c r="J85" s="671"/>
      <c r="K85" s="672">
        <f>SUM(G85:I85)</f>
        <v>0</v>
      </c>
      <c r="L85" s="672"/>
    </row>
    <row r="86" spans="2:12" ht="12.75" hidden="1">
      <c r="B86" s="670" t="s">
        <v>313</v>
      </c>
      <c r="C86" s="670"/>
      <c r="D86" s="670"/>
      <c r="E86" s="670"/>
      <c r="F86" s="670"/>
      <c r="G86" s="671"/>
      <c r="H86" s="671"/>
      <c r="I86" s="671"/>
      <c r="J86" s="671"/>
      <c r="K86" s="672">
        <f>SUM(G86:I86)</f>
        <v>0</v>
      </c>
      <c r="L86" s="672"/>
    </row>
    <row r="87" spans="2:12" ht="12.75" hidden="1">
      <c r="B87" s="722" t="s">
        <v>314</v>
      </c>
      <c r="C87" s="722"/>
      <c r="D87" s="722"/>
      <c r="E87" s="722"/>
      <c r="F87" s="722"/>
      <c r="G87" s="723">
        <f>SUM(F85:F86)</f>
        <v>0</v>
      </c>
      <c r="H87" s="723"/>
      <c r="I87" s="723">
        <f>SUM(H85:H86)</f>
        <v>0</v>
      </c>
      <c r="J87" s="723"/>
      <c r="K87" s="723">
        <f>SUM(J85:J86)</f>
        <v>0</v>
      </c>
      <c r="L87" s="723"/>
    </row>
    <row r="88" spans="2:12" ht="12.75" hidden="1">
      <c r="B88" s="669" t="str">
        <f>CONCATENATE("Бъдещи минимални лизингови плащания към 31.12.",НАЧАЛО!AC1-1," г.")</f>
        <v>Бъдещи минимални лизингови плащания към 31.12.2009 г.</v>
      </c>
      <c r="C88" s="669"/>
      <c r="D88" s="669"/>
      <c r="E88" s="669"/>
      <c r="F88" s="669"/>
      <c r="G88" s="669"/>
      <c r="H88" s="669"/>
      <c r="I88" s="669"/>
      <c r="J88" s="669"/>
      <c r="K88" s="669"/>
      <c r="L88" s="669"/>
    </row>
    <row r="89" spans="2:12" ht="12.75" hidden="1">
      <c r="B89" s="673"/>
      <c r="C89" s="673"/>
      <c r="D89" s="673"/>
      <c r="E89" s="673"/>
      <c r="F89" s="673"/>
      <c r="G89" s="674" t="s">
        <v>310</v>
      </c>
      <c r="H89" s="674"/>
      <c r="I89" s="674" t="s">
        <v>311</v>
      </c>
      <c r="J89" s="674"/>
      <c r="K89" s="674" t="s">
        <v>231</v>
      </c>
      <c r="L89" s="674"/>
    </row>
    <row r="90" spans="2:12" ht="12.75" hidden="1">
      <c r="B90" s="670" t="s">
        <v>464</v>
      </c>
      <c r="C90" s="670"/>
      <c r="D90" s="670"/>
      <c r="E90" s="670"/>
      <c r="F90" s="670"/>
      <c r="G90" s="671"/>
      <c r="H90" s="671"/>
      <c r="I90" s="671"/>
      <c r="J90" s="671"/>
      <c r="K90" s="672">
        <f>SUM(F90:I90)</f>
        <v>0</v>
      </c>
      <c r="L90" s="672"/>
    </row>
    <row r="91" spans="2:12" ht="12.75" hidden="1">
      <c r="B91" s="670" t="s">
        <v>313</v>
      </c>
      <c r="C91" s="670"/>
      <c r="D91" s="670"/>
      <c r="E91" s="670"/>
      <c r="F91" s="670"/>
      <c r="G91" s="671"/>
      <c r="H91" s="671"/>
      <c r="I91" s="671"/>
      <c r="J91" s="671"/>
      <c r="K91" s="672">
        <f>SUM(F91:I91)</f>
        <v>0</v>
      </c>
      <c r="L91" s="672"/>
    </row>
    <row r="92" spans="2:12" ht="12.75" hidden="1">
      <c r="B92" s="722" t="s">
        <v>314</v>
      </c>
      <c r="C92" s="722"/>
      <c r="D92" s="722"/>
      <c r="E92" s="722"/>
      <c r="F92" s="722"/>
      <c r="G92" s="723">
        <f>SUM(G90:G91)</f>
        <v>0</v>
      </c>
      <c r="H92" s="723"/>
      <c r="I92" s="723">
        <f>SUM(I90:I91)</f>
        <v>0</v>
      </c>
      <c r="J92" s="723"/>
      <c r="K92" s="723">
        <f>SUM(K90:K91)</f>
        <v>0</v>
      </c>
      <c r="L92" s="723"/>
    </row>
    <row r="93" spans="2:12" ht="14.25" hidden="1">
      <c r="B93" s="668" t="s">
        <v>315</v>
      </c>
      <c r="C93" s="668"/>
      <c r="D93" s="668"/>
      <c r="E93" s="668"/>
      <c r="F93" s="668"/>
      <c r="G93" s="668"/>
      <c r="H93" s="668"/>
      <c r="I93" s="668"/>
      <c r="J93" s="668"/>
      <c r="K93" s="668"/>
      <c r="L93" s="668"/>
    </row>
    <row r="94" spans="2:12" ht="12.75" hidden="1">
      <c r="B94" s="669" t="str">
        <f>B83</f>
        <v>Бъдещи минимални лизингови плащания към 30.9.2010 г.</v>
      </c>
      <c r="C94" s="669"/>
      <c r="D94" s="669"/>
      <c r="E94" s="669"/>
      <c r="F94" s="669"/>
      <c r="G94" s="669"/>
      <c r="H94" s="669"/>
      <c r="I94" s="669"/>
      <c r="J94" s="669"/>
      <c r="K94" s="669"/>
      <c r="L94" s="669"/>
    </row>
    <row r="95" spans="2:12" ht="12.75" hidden="1">
      <c r="B95" s="670" t="s">
        <v>464</v>
      </c>
      <c r="C95" s="670"/>
      <c r="D95" s="670"/>
      <c r="E95" s="670"/>
      <c r="F95" s="670"/>
      <c r="G95" s="671"/>
      <c r="H95" s="671"/>
      <c r="I95" s="671"/>
      <c r="J95" s="671"/>
      <c r="K95" s="672">
        <f>SUM(F95:I95)</f>
        <v>0</v>
      </c>
      <c r="L95" s="672"/>
    </row>
    <row r="96" spans="2:12" ht="12.75" hidden="1">
      <c r="B96" s="722" t="s">
        <v>231</v>
      </c>
      <c r="C96" s="722"/>
      <c r="D96" s="722"/>
      <c r="E96" s="722"/>
      <c r="F96" s="722"/>
      <c r="G96" s="723">
        <f>SUM(G95)</f>
        <v>0</v>
      </c>
      <c r="H96" s="723"/>
      <c r="I96" s="723">
        <f>SUM(I95)</f>
        <v>0</v>
      </c>
      <c r="J96" s="723"/>
      <c r="K96" s="723">
        <f>SUM(K95)</f>
        <v>0</v>
      </c>
      <c r="L96" s="723"/>
    </row>
    <row r="97" ht="12.75" hidden="1"/>
    <row r="98" ht="12.75" hidden="1"/>
  </sheetData>
  <mergeCells count="269">
    <mergeCell ref="B1:N1"/>
    <mergeCell ref="B2:J3"/>
    <mergeCell ref="K2:L3"/>
    <mergeCell ref="M2:N3"/>
    <mergeCell ref="B4:J4"/>
    <mergeCell ref="K4:L4"/>
    <mergeCell ref="M4:N4"/>
    <mergeCell ref="P4:T4"/>
    <mergeCell ref="B5:J5"/>
    <mergeCell ref="K5:L5"/>
    <mergeCell ref="M5:N5"/>
    <mergeCell ref="P5:R5"/>
    <mergeCell ref="B6:J6"/>
    <mergeCell ref="K6:L6"/>
    <mergeCell ref="M6:N6"/>
    <mergeCell ref="P6:R6"/>
    <mergeCell ref="B7:J7"/>
    <mergeCell ref="K7:L7"/>
    <mergeCell ref="M7:N7"/>
    <mergeCell ref="P7:R7"/>
    <mergeCell ref="B8:J8"/>
    <mergeCell ref="K8:L8"/>
    <mergeCell ref="M8:N8"/>
    <mergeCell ref="P8:R8"/>
    <mergeCell ref="B9:N9"/>
    <mergeCell ref="B10:J10"/>
    <mergeCell ref="K10:L10"/>
    <mergeCell ref="M10:N10"/>
    <mergeCell ref="P10:T10"/>
    <mergeCell ref="B11:J11"/>
    <mergeCell ref="K11:L11"/>
    <mergeCell ref="M11:N11"/>
    <mergeCell ref="P11:R11"/>
    <mergeCell ref="B12:J12"/>
    <mergeCell ref="K12:L12"/>
    <mergeCell ref="M12:N12"/>
    <mergeCell ref="P12:R12"/>
    <mergeCell ref="B13:J13"/>
    <mergeCell ref="K13:L13"/>
    <mergeCell ref="M13:N13"/>
    <mergeCell ref="P13:R13"/>
    <mergeCell ref="B14:J14"/>
    <mergeCell ref="K14:L14"/>
    <mergeCell ref="M14:N14"/>
    <mergeCell ref="P14:R14"/>
    <mergeCell ref="B15:N15"/>
    <mergeCell ref="B16:J16"/>
    <mergeCell ref="K16:L16"/>
    <mergeCell ref="M16:N16"/>
    <mergeCell ref="B17:J17"/>
    <mergeCell ref="K17:L17"/>
    <mergeCell ref="M17:N17"/>
    <mergeCell ref="B18:J18"/>
    <mergeCell ref="K18:L18"/>
    <mergeCell ref="M18:N18"/>
    <mergeCell ref="B19:J19"/>
    <mergeCell ref="K19:L19"/>
    <mergeCell ref="M19:N19"/>
    <mergeCell ref="B20:N20"/>
    <mergeCell ref="B21:J21"/>
    <mergeCell ref="K21:L21"/>
    <mergeCell ref="M21:N21"/>
    <mergeCell ref="P21:T21"/>
    <mergeCell ref="B22:J22"/>
    <mergeCell ref="K22:L22"/>
    <mergeCell ref="M22:N22"/>
    <mergeCell ref="P22:R22"/>
    <mergeCell ref="B23:J23"/>
    <mergeCell ref="K23:L23"/>
    <mergeCell ref="M23:N23"/>
    <mergeCell ref="P23:R23"/>
    <mergeCell ref="B24:J24"/>
    <mergeCell ref="K24:L24"/>
    <mergeCell ref="M24:N24"/>
    <mergeCell ref="P24:R24"/>
    <mergeCell ref="B25:J25"/>
    <mergeCell ref="K25:L25"/>
    <mergeCell ref="M25:N25"/>
    <mergeCell ref="P25:R25"/>
    <mergeCell ref="B28:N28"/>
    <mergeCell ref="B29:J30"/>
    <mergeCell ref="K29:L30"/>
    <mergeCell ref="M29:N30"/>
    <mergeCell ref="B31:J31"/>
    <mergeCell ref="K31:L31"/>
    <mergeCell ref="M31:N31"/>
    <mergeCell ref="P31:T31"/>
    <mergeCell ref="B32:J32"/>
    <mergeCell ref="K32:L32"/>
    <mergeCell ref="M32:N32"/>
    <mergeCell ref="P32:R32"/>
    <mergeCell ref="B33:J33"/>
    <mergeCell ref="K33:L33"/>
    <mergeCell ref="M33:N33"/>
    <mergeCell ref="P33:R33"/>
    <mergeCell ref="B34:J34"/>
    <mergeCell ref="K34:L34"/>
    <mergeCell ref="M34:N34"/>
    <mergeCell ref="P34:R34"/>
    <mergeCell ref="B35:J35"/>
    <mergeCell ref="K35:L35"/>
    <mergeCell ref="M35:N35"/>
    <mergeCell ref="P35:R35"/>
    <mergeCell ref="B36:N36"/>
    <mergeCell ref="B37:J37"/>
    <mergeCell ref="K37:L37"/>
    <mergeCell ref="M37:N37"/>
    <mergeCell ref="P37:T37"/>
    <mergeCell ref="B38:J38"/>
    <mergeCell ref="K38:L38"/>
    <mergeCell ref="M38:N38"/>
    <mergeCell ref="P38:R38"/>
    <mergeCell ref="B39:J39"/>
    <mergeCell ref="K39:L39"/>
    <mergeCell ref="M39:N39"/>
    <mergeCell ref="P39:R39"/>
    <mergeCell ref="B40:J40"/>
    <mergeCell ref="K40:L40"/>
    <mergeCell ref="M40:N40"/>
    <mergeCell ref="P40:R40"/>
    <mergeCell ref="B41:J41"/>
    <mergeCell ref="K41:L41"/>
    <mergeCell ref="M41:N41"/>
    <mergeCell ref="P41:R41"/>
    <mergeCell ref="B42:N42"/>
    <mergeCell ref="B43:J43"/>
    <mergeCell ref="K43:L43"/>
    <mergeCell ref="M43:N43"/>
    <mergeCell ref="B44:J44"/>
    <mergeCell ref="K44:L44"/>
    <mergeCell ref="M44:N44"/>
    <mergeCell ref="B45:J45"/>
    <mergeCell ref="K45:L45"/>
    <mergeCell ref="M45:N45"/>
    <mergeCell ref="B46:J46"/>
    <mergeCell ref="K46:L46"/>
    <mergeCell ref="M46:N46"/>
    <mergeCell ref="B47:N47"/>
    <mergeCell ref="B48:J48"/>
    <mergeCell ref="K48:L48"/>
    <mergeCell ref="M48:N48"/>
    <mergeCell ref="P48:T48"/>
    <mergeCell ref="B49:J49"/>
    <mergeCell ref="K49:L49"/>
    <mergeCell ref="M49:N49"/>
    <mergeCell ref="P49:R49"/>
    <mergeCell ref="B50:J50"/>
    <mergeCell ref="K50:L50"/>
    <mergeCell ref="M50:N50"/>
    <mergeCell ref="P50:R50"/>
    <mergeCell ref="B51:J51"/>
    <mergeCell ref="K51:L51"/>
    <mergeCell ref="M51:N51"/>
    <mergeCell ref="P51:R51"/>
    <mergeCell ref="B52:J52"/>
    <mergeCell ref="K52:L52"/>
    <mergeCell ref="M52:N52"/>
    <mergeCell ref="P52:R52"/>
    <mergeCell ref="B53:N53"/>
    <mergeCell ref="B55:N55"/>
    <mergeCell ref="B56:F56"/>
    <mergeCell ref="J56:N56"/>
    <mergeCell ref="B57:F57"/>
    <mergeCell ref="J57:N57"/>
    <mergeCell ref="B58:F58"/>
    <mergeCell ref="J58:N58"/>
    <mergeCell ref="B59:F59"/>
    <mergeCell ref="J59:N59"/>
    <mergeCell ref="B60:F60"/>
    <mergeCell ref="J60:N60"/>
    <mergeCell ref="B61:F61"/>
    <mergeCell ref="J61:N61"/>
    <mergeCell ref="B62:F62"/>
    <mergeCell ref="J62:N62"/>
    <mergeCell ref="B63:F63"/>
    <mergeCell ref="J63:N63"/>
    <mergeCell ref="B64:F64"/>
    <mergeCell ref="J64:N64"/>
    <mergeCell ref="B65:F65"/>
    <mergeCell ref="J65:N65"/>
    <mergeCell ref="B66:F66"/>
    <mergeCell ref="J66:N66"/>
    <mergeCell ref="B67:N67"/>
    <mergeCell ref="B68:J69"/>
    <mergeCell ref="K68:L69"/>
    <mergeCell ref="M68:N69"/>
    <mergeCell ref="B70:J70"/>
    <mergeCell ref="K70:L70"/>
    <mergeCell ref="M70:N70"/>
    <mergeCell ref="B71:J71"/>
    <mergeCell ref="K71:L71"/>
    <mergeCell ref="M71:N71"/>
    <mergeCell ref="B72:J72"/>
    <mergeCell ref="K72:L72"/>
    <mergeCell ref="M72:N72"/>
    <mergeCell ref="B73:J73"/>
    <mergeCell ref="K73:L73"/>
    <mergeCell ref="M73:N73"/>
    <mergeCell ref="B74:J74"/>
    <mergeCell ref="K74:L74"/>
    <mergeCell ref="M74:N74"/>
    <mergeCell ref="B75:J75"/>
    <mergeCell ref="K75:L75"/>
    <mergeCell ref="M75:N75"/>
    <mergeCell ref="B76:J76"/>
    <mergeCell ref="K76:L76"/>
    <mergeCell ref="M76:N76"/>
    <mergeCell ref="P76:T76"/>
    <mergeCell ref="B77:J77"/>
    <mergeCell ref="K77:L77"/>
    <mergeCell ref="M77:N77"/>
    <mergeCell ref="P77:R77"/>
    <mergeCell ref="B78:J78"/>
    <mergeCell ref="K78:L78"/>
    <mergeCell ref="M78:N78"/>
    <mergeCell ref="P78:R78"/>
    <mergeCell ref="B79:J79"/>
    <mergeCell ref="K79:L79"/>
    <mergeCell ref="M79:N79"/>
    <mergeCell ref="P79:R79"/>
    <mergeCell ref="B80:J80"/>
    <mergeCell ref="K80:L80"/>
    <mergeCell ref="M80:N80"/>
    <mergeCell ref="P80:R80"/>
    <mergeCell ref="B82:L82"/>
    <mergeCell ref="B83:L83"/>
    <mergeCell ref="B84:F84"/>
    <mergeCell ref="G84:H84"/>
    <mergeCell ref="I84:J84"/>
    <mergeCell ref="K84:L84"/>
    <mergeCell ref="B85:F85"/>
    <mergeCell ref="G85:H85"/>
    <mergeCell ref="I85:J85"/>
    <mergeCell ref="K85:L85"/>
    <mergeCell ref="B86:F86"/>
    <mergeCell ref="G86:H86"/>
    <mergeCell ref="I86:J86"/>
    <mergeCell ref="K86:L86"/>
    <mergeCell ref="B87:F87"/>
    <mergeCell ref="G87:H87"/>
    <mergeCell ref="I87:J87"/>
    <mergeCell ref="K87:L87"/>
    <mergeCell ref="B88:L88"/>
    <mergeCell ref="B89:F89"/>
    <mergeCell ref="G89:H89"/>
    <mergeCell ref="I89:J89"/>
    <mergeCell ref="K89:L89"/>
    <mergeCell ref="B90:F90"/>
    <mergeCell ref="G90:H90"/>
    <mergeCell ref="I90:J90"/>
    <mergeCell ref="K90:L90"/>
    <mergeCell ref="B91:F91"/>
    <mergeCell ref="G91:H91"/>
    <mergeCell ref="I91:J91"/>
    <mergeCell ref="K91:L91"/>
    <mergeCell ref="B92:F92"/>
    <mergeCell ref="G92:H92"/>
    <mergeCell ref="I92:J92"/>
    <mergeCell ref="K92:L92"/>
    <mergeCell ref="B93:L93"/>
    <mergeCell ref="B94:L94"/>
    <mergeCell ref="B95:F95"/>
    <mergeCell ref="G95:H95"/>
    <mergeCell ref="I95:J95"/>
    <mergeCell ref="K95:L95"/>
    <mergeCell ref="B96:F96"/>
    <mergeCell ref="G96:H96"/>
    <mergeCell ref="I96:J96"/>
    <mergeCell ref="K96:L9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A1">
      <selection activeCell="A35" sqref="A35"/>
    </sheetView>
  </sheetViews>
  <sheetFormatPr defaultColWidth="9.140625" defaultRowHeight="12.75"/>
  <cols>
    <col min="1" max="1" width="9.140625" style="1" customWidth="1"/>
    <col min="2" max="6" width="11.8515625" style="1" customWidth="1"/>
    <col min="7" max="16384" width="9.140625" style="1" customWidth="1"/>
  </cols>
  <sheetData>
    <row r="1" spans="2:6" ht="14.25">
      <c r="B1" s="686" t="s">
        <v>465</v>
      </c>
      <c r="C1" s="686"/>
      <c r="D1" s="686"/>
      <c r="E1" s="686"/>
      <c r="F1" s="686"/>
    </row>
    <row r="2" spans="2:6" ht="12.75">
      <c r="B2" s="699" t="s">
        <v>466</v>
      </c>
      <c r="C2" s="699"/>
      <c r="D2" s="699"/>
      <c r="E2" s="410">
        <f>НАЧАЛО!AA2</f>
        <v>40451</v>
      </c>
      <c r="F2" s="411" t="str">
        <f>CONCATENATE("31.12.",YEAR(E2)-1," г.")</f>
        <v>31.12.2009 г.</v>
      </c>
    </row>
    <row r="3" spans="2:6" ht="12.75">
      <c r="B3" s="715" t="s">
        <v>467</v>
      </c>
      <c r="C3" s="715"/>
      <c r="D3" s="715"/>
      <c r="E3" s="441"/>
      <c r="F3" s="441"/>
    </row>
    <row r="4" spans="2:6" ht="12.75">
      <c r="B4" s="714" t="s">
        <v>468</v>
      </c>
      <c r="C4" s="714"/>
      <c r="D4" s="714"/>
      <c r="E4" s="484"/>
      <c r="F4" s="484"/>
    </row>
    <row r="5" spans="2:6" ht="12.75">
      <c r="B5" s="714" t="s">
        <v>469</v>
      </c>
      <c r="C5" s="714"/>
      <c r="D5" s="714"/>
      <c r="E5" s="484"/>
      <c r="F5" s="484"/>
    </row>
    <row r="6" spans="2:6" ht="12.75">
      <c r="B6" s="688" t="s">
        <v>231</v>
      </c>
      <c r="C6" s="688"/>
      <c r="D6" s="688"/>
      <c r="E6" s="468">
        <f>SUM(E4:E5)</f>
        <v>0</v>
      </c>
      <c r="F6" s="468">
        <f>SUM(F4:F5)</f>
        <v>0</v>
      </c>
    </row>
    <row r="7" ht="12.75">
      <c r="E7" s="485">
        <f>E6-баланс!E78</f>
        <v>0</v>
      </c>
    </row>
    <row r="8" spans="2:6" ht="12.75">
      <c r="B8" s="699" t="s">
        <v>466</v>
      </c>
      <c r="C8" s="699"/>
      <c r="D8" s="699"/>
      <c r="E8" s="410">
        <f>E2</f>
        <v>40451</v>
      </c>
      <c r="F8" s="410" t="str">
        <f>F2</f>
        <v>31.12.2009 г.</v>
      </c>
    </row>
    <row r="9" spans="2:6" ht="12.75">
      <c r="B9" s="715" t="s">
        <v>470</v>
      </c>
      <c r="C9" s="715"/>
      <c r="D9" s="715"/>
      <c r="E9" s="441"/>
      <c r="F9" s="441"/>
    </row>
    <row r="10" spans="2:6" ht="12.75">
      <c r="B10" s="714" t="s">
        <v>468</v>
      </c>
      <c r="C10" s="714"/>
      <c r="D10" s="714"/>
      <c r="E10" s="317"/>
      <c r="F10" s="317"/>
    </row>
    <row r="11" spans="2:6" ht="12.75">
      <c r="B11" s="714" t="s">
        <v>469</v>
      </c>
      <c r="C11" s="714"/>
      <c r="D11" s="714"/>
      <c r="E11" s="317"/>
      <c r="F11" s="317"/>
    </row>
    <row r="12" spans="2:6" ht="12.75">
      <c r="B12" s="688" t="s">
        <v>231</v>
      </c>
      <c r="C12" s="688"/>
      <c r="D12" s="688"/>
      <c r="E12" s="468">
        <f>SUM(E10:E11)</f>
        <v>0</v>
      </c>
      <c r="F12" s="468">
        <f>SUM(F10:F11)</f>
        <v>0</v>
      </c>
    </row>
    <row r="14" ht="12.75">
      <c r="E14" s="485">
        <f>E12-баланс!E96</f>
        <v>0</v>
      </c>
    </row>
  </sheetData>
  <mergeCells count="11">
    <mergeCell ref="B1:F1"/>
    <mergeCell ref="B2:D2"/>
    <mergeCell ref="B3:D3"/>
    <mergeCell ref="B4:D4"/>
    <mergeCell ref="B10:D10"/>
    <mergeCell ref="B11:D11"/>
    <mergeCell ref="B12:D12"/>
    <mergeCell ref="B5:D5"/>
    <mergeCell ref="B6:D6"/>
    <mergeCell ref="B8:D8"/>
    <mergeCell ref="B9:D9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42"/>
  <sheetViews>
    <sheetView workbookViewId="0" topLeftCell="A1">
      <selection activeCell="D13" sqref="D13"/>
    </sheetView>
  </sheetViews>
  <sheetFormatPr defaultColWidth="9.140625" defaultRowHeight="12.75"/>
  <cols>
    <col min="1" max="1" width="5.7109375" style="1" customWidth="1"/>
    <col min="2" max="2" width="16.00390625" style="1" customWidth="1"/>
    <col min="3" max="3" width="22.421875" style="1" customWidth="1"/>
    <col min="4" max="5" width="12.140625" style="1" customWidth="1"/>
    <col min="6" max="16384" width="9.140625" style="1" customWidth="1"/>
  </cols>
  <sheetData>
    <row r="1" spans="2:5" ht="14.25">
      <c r="B1" s="705" t="s">
        <v>471</v>
      </c>
      <c r="C1" s="705"/>
      <c r="D1" s="705"/>
      <c r="E1" s="705"/>
    </row>
    <row r="2" spans="2:5" ht="12.75">
      <c r="B2" s="699" t="s">
        <v>281</v>
      </c>
      <c r="C2" s="699"/>
      <c r="D2" s="410">
        <f>НАЧАЛО!AA2</f>
        <v>40451</v>
      </c>
      <c r="E2" s="411" t="str">
        <f>CONCATENATE("31.12.",YEAR(D2)-1," г.")</f>
        <v>31.12.2009 г.</v>
      </c>
    </row>
    <row r="3" spans="2:5" ht="12.75">
      <c r="B3" s="715" t="s">
        <v>472</v>
      </c>
      <c r="C3" s="715"/>
      <c r="D3" s="445">
        <f>SUM(D4:D6)</f>
        <v>0</v>
      </c>
      <c r="E3" s="445">
        <f>SUM(E4:E6)</f>
        <v>0</v>
      </c>
    </row>
    <row r="4" spans="2:5" ht="12.75">
      <c r="B4" s="714" t="s">
        <v>473</v>
      </c>
      <c r="C4" s="714"/>
      <c r="D4" s="446"/>
      <c r="E4" s="446"/>
    </row>
    <row r="5" spans="2:5" ht="12.75">
      <c r="B5" s="714" t="s">
        <v>474</v>
      </c>
      <c r="C5" s="714"/>
      <c r="D5" s="446"/>
      <c r="E5" s="446"/>
    </row>
    <row r="6" spans="2:5" ht="12.75">
      <c r="B6" s="714" t="s">
        <v>475</v>
      </c>
      <c r="C6" s="714"/>
      <c r="D6" s="446"/>
      <c r="E6" s="446"/>
    </row>
    <row r="7" spans="2:5" ht="12.75">
      <c r="B7" s="715" t="s">
        <v>473</v>
      </c>
      <c r="C7" s="715"/>
      <c r="D7" s="445"/>
      <c r="E7" s="445"/>
    </row>
    <row r="8" spans="2:5" ht="12.75">
      <c r="B8" s="715" t="s">
        <v>474</v>
      </c>
      <c r="C8" s="715"/>
      <c r="D8" s="445"/>
      <c r="E8" s="445"/>
    </row>
    <row r="9" spans="2:5" ht="12.75">
      <c r="B9" s="715" t="s">
        <v>476</v>
      </c>
      <c r="C9" s="715"/>
      <c r="D9" s="445">
        <f>SUM(D10:D13)</f>
        <v>1843</v>
      </c>
      <c r="E9" s="445">
        <f>SUM(E10:E13)</f>
        <v>3870</v>
      </c>
    </row>
    <row r="10" spans="2:11" ht="12.75">
      <c r="B10" s="726" t="s">
        <v>477</v>
      </c>
      <c r="C10" s="726"/>
      <c r="D10" s="446"/>
      <c r="E10" s="446"/>
      <c r="G10" s="681" t="str">
        <f>IF(AND(J11="",J13=""),"","Разлика между БАЛАНСА и ПРИЛОЖЕНИЕТО!")</f>
        <v>Разлика между БАЛАНСА и ПРИЛОЖЕНИЕТО!</v>
      </c>
      <c r="H10" s="681"/>
      <c r="I10" s="681"/>
      <c r="J10" s="681"/>
      <c r="K10" s="681"/>
    </row>
    <row r="11" spans="2:11" ht="12.75">
      <c r="B11" s="714" t="s">
        <v>478</v>
      </c>
      <c r="C11" s="714"/>
      <c r="D11" s="446"/>
      <c r="E11" s="446">
        <v>3071</v>
      </c>
      <c r="G11" s="680" t="str">
        <f>IF(J11="","","Разлика текущ период:")</f>
        <v>Разлика текущ период:</v>
      </c>
      <c r="H11" s="680"/>
      <c r="I11" s="680"/>
      <c r="J11" s="405">
        <f>IF(D14=баланс!E73,"",D14-баланс!E73)</f>
        <v>-6726</v>
      </c>
      <c r="K11" s="406"/>
    </row>
    <row r="12" spans="2:11" ht="12.75">
      <c r="B12" s="714" t="s">
        <v>449</v>
      </c>
      <c r="C12" s="714"/>
      <c r="D12" s="446">
        <v>1158</v>
      </c>
      <c r="E12" s="446">
        <v>406</v>
      </c>
      <c r="G12" s="678" t="str">
        <f>IF(J11="","","Сума по баланс:")</f>
        <v>Сума по баланс:</v>
      </c>
      <c r="H12" s="678"/>
      <c r="I12" s="678"/>
      <c r="J12" s="407">
        <f>IF(J11="","",баланс!E73)</f>
        <v>8569</v>
      </c>
      <c r="K12" s="406"/>
    </row>
    <row r="13" spans="2:11" ht="12.75">
      <c r="B13" s="714" t="s">
        <v>479</v>
      </c>
      <c r="C13" s="714"/>
      <c r="D13" s="446">
        <v>685</v>
      </c>
      <c r="E13" s="446">
        <v>393</v>
      </c>
      <c r="G13" s="680" t="str">
        <f>IF(J13="","","Разлика предходен период:")</f>
        <v>Разлика предходен период:</v>
      </c>
      <c r="H13" s="680"/>
      <c r="I13" s="680"/>
      <c r="J13" s="405">
        <f>IF(E14=баланс!G73,"",E14-баланс!G73)</f>
        <v>2</v>
      </c>
      <c r="K13" s="406"/>
    </row>
    <row r="14" spans="2:11" ht="12.75">
      <c r="B14" s="688" t="s">
        <v>231</v>
      </c>
      <c r="C14" s="688"/>
      <c r="D14" s="449">
        <f>D3+D7+D8+D9</f>
        <v>1843</v>
      </c>
      <c r="E14" s="449">
        <f>E3+E7+E8+E9</f>
        <v>3870</v>
      </c>
      <c r="G14" s="678" t="str">
        <f>IF(J13="","","Сума по баланс:")</f>
        <v>Сума по баланс:</v>
      </c>
      <c r="H14" s="678"/>
      <c r="I14" s="678"/>
      <c r="J14" s="407">
        <f>IF(J13="","",баланс!G73)</f>
        <v>3868</v>
      </c>
      <c r="K14" s="406"/>
    </row>
    <row r="15" spans="2:5" ht="14.25">
      <c r="B15" s="692" t="s">
        <v>480</v>
      </c>
      <c r="C15" s="692"/>
      <c r="D15" s="692"/>
      <c r="E15" s="692"/>
    </row>
    <row r="16" spans="2:5" ht="12.75">
      <c r="B16" s="699" t="s">
        <v>281</v>
      </c>
      <c r="C16" s="699"/>
      <c r="D16" s="410">
        <f>D2</f>
        <v>40451</v>
      </c>
      <c r="E16" s="410" t="str">
        <f>E2</f>
        <v>31.12.2009 г.</v>
      </c>
    </row>
    <row r="17" spans="2:5" ht="12.75">
      <c r="B17" s="715" t="s">
        <v>472</v>
      </c>
      <c r="C17" s="715"/>
      <c r="D17" s="476">
        <f>SUM(D18:D21)</f>
        <v>203</v>
      </c>
      <c r="E17" s="476">
        <f>SUM(E18:E21)</f>
        <v>66</v>
      </c>
    </row>
    <row r="18" spans="2:5" ht="12.75">
      <c r="B18" s="714" t="s">
        <v>473</v>
      </c>
      <c r="C18" s="714"/>
      <c r="D18" s="486">
        <v>203</v>
      </c>
      <c r="E18" s="486">
        <v>66</v>
      </c>
    </row>
    <row r="19" spans="2:5" ht="12.75">
      <c r="B19" s="714" t="s">
        <v>474</v>
      </c>
      <c r="C19" s="714"/>
      <c r="D19" s="486"/>
      <c r="E19" s="486"/>
    </row>
    <row r="20" spans="2:5" ht="12.75">
      <c r="B20" s="714" t="s">
        <v>481</v>
      </c>
      <c r="C20" s="714"/>
      <c r="D20" s="486"/>
      <c r="E20" s="486"/>
    </row>
    <row r="21" spans="2:5" ht="12.75">
      <c r="B21" s="714" t="s">
        <v>475</v>
      </c>
      <c r="C21" s="714"/>
      <c r="D21" s="486"/>
      <c r="E21" s="486"/>
    </row>
    <row r="22" spans="2:5" ht="12.75">
      <c r="B22" s="715" t="s">
        <v>473</v>
      </c>
      <c r="C22" s="715"/>
      <c r="D22" s="476">
        <v>5787</v>
      </c>
      <c r="E22" s="476">
        <v>2255</v>
      </c>
    </row>
    <row r="23" spans="2:5" ht="12.75">
      <c r="B23" s="715" t="s">
        <v>474</v>
      </c>
      <c r="C23" s="715"/>
      <c r="D23" s="476">
        <v>5377</v>
      </c>
      <c r="E23" s="476">
        <v>1117</v>
      </c>
    </row>
    <row r="24" spans="2:5" ht="12.75">
      <c r="B24" s="727" t="s">
        <v>482</v>
      </c>
      <c r="C24" s="727"/>
      <c r="D24" s="476">
        <f>SUM(D25:D30)</f>
        <v>1004</v>
      </c>
      <c r="E24" s="476">
        <f>SUM(E25:E30)</f>
        <v>688</v>
      </c>
    </row>
    <row r="25" spans="2:5" ht="12.75">
      <c r="B25" s="726" t="s">
        <v>483</v>
      </c>
      <c r="C25" s="726"/>
      <c r="D25" s="486"/>
      <c r="E25" s="486"/>
    </row>
    <row r="26" spans="2:5" ht="12.75">
      <c r="B26" s="726" t="s">
        <v>477</v>
      </c>
      <c r="C26" s="726"/>
      <c r="D26" s="486"/>
      <c r="E26" s="486"/>
    </row>
    <row r="27" spans="2:11" ht="12.75">
      <c r="B27" s="726" t="s">
        <v>484</v>
      </c>
      <c r="C27" s="726"/>
      <c r="D27" s="486"/>
      <c r="E27" s="486"/>
      <c r="G27" s="681" t="str">
        <f>IF(AND(J28="",J30=""),"","Разлика между БАЛАНСА и ПРИЛОЖЕНИЕТО!")</f>
        <v>Разлика между БАЛАНСА и ПРИЛОЖЕНИЕТО!</v>
      </c>
      <c r="H27" s="681"/>
      <c r="I27" s="681"/>
      <c r="J27" s="681"/>
      <c r="K27" s="681"/>
    </row>
    <row r="28" spans="2:11" ht="12.75">
      <c r="B28" s="726" t="s">
        <v>485</v>
      </c>
      <c r="C28" s="726"/>
      <c r="D28" s="486">
        <v>1004</v>
      </c>
      <c r="E28" s="486">
        <v>688</v>
      </c>
      <c r="G28" s="680" t="str">
        <f>IF(J28="","","Разлика текущ период:")</f>
        <v>Разлика текущ период:</v>
      </c>
      <c r="H28" s="680"/>
      <c r="I28" s="680"/>
      <c r="J28" s="405">
        <f>IF(D31=баланс!E86,"",D31-баланс!E86)</f>
        <v>-239</v>
      </c>
      <c r="K28" s="406"/>
    </row>
    <row r="29" spans="2:11" ht="12.75">
      <c r="B29" s="726" t="s">
        <v>486</v>
      </c>
      <c r="C29" s="726"/>
      <c r="D29" s="486"/>
      <c r="E29" s="486"/>
      <c r="G29" s="678" t="str">
        <f>IF(J28="","","Сума по баланс:")</f>
        <v>Сума по баланс:</v>
      </c>
      <c r="H29" s="678"/>
      <c r="I29" s="678"/>
      <c r="J29" s="407">
        <f>IF(J28="","",баланс!E86)</f>
        <v>12610</v>
      </c>
      <c r="K29" s="406"/>
    </row>
    <row r="30" spans="2:11" ht="12.75">
      <c r="B30" s="726" t="s">
        <v>486</v>
      </c>
      <c r="C30" s="726"/>
      <c r="D30" s="486"/>
      <c r="E30" s="486"/>
      <c r="G30" s="680" t="str">
        <f>IF(J30="","","Разлика предходен период:")</f>
        <v>Разлика предходен период:</v>
      </c>
      <c r="H30" s="680"/>
      <c r="I30" s="680"/>
      <c r="J30" s="405">
        <f>IF(E31=баланс!G86,"",E31-баланс!G86)</f>
        <v>-8232</v>
      </c>
      <c r="K30" s="406"/>
    </row>
    <row r="31" spans="2:11" ht="12.75">
      <c r="B31" s="688" t="s">
        <v>231</v>
      </c>
      <c r="C31" s="688"/>
      <c r="D31" s="449">
        <f>D17+D22+D23+D24</f>
        <v>12371</v>
      </c>
      <c r="E31" s="449">
        <f>E17+E22+E23+E24</f>
        <v>4126</v>
      </c>
      <c r="G31" s="678" t="str">
        <f>IF(J30="","","Сума по баланс:")</f>
        <v>Сума по баланс:</v>
      </c>
      <c r="H31" s="678"/>
      <c r="I31" s="678"/>
      <c r="J31" s="407">
        <f>IF(J30="","",баланс!G86)</f>
        <v>12358</v>
      </c>
      <c r="K31" s="406"/>
    </row>
    <row r="32" spans="2:5" ht="14.25">
      <c r="B32" s="692" t="s">
        <v>487</v>
      </c>
      <c r="C32" s="692"/>
      <c r="D32" s="692"/>
      <c r="E32" s="692"/>
    </row>
    <row r="33" spans="2:5" ht="12.75">
      <c r="B33" s="699" t="s">
        <v>281</v>
      </c>
      <c r="C33" s="699"/>
      <c r="D33" s="410">
        <f>D2</f>
        <v>40451</v>
      </c>
      <c r="E33" s="410" t="str">
        <f>E2</f>
        <v>31.12.2009 г.</v>
      </c>
    </row>
    <row r="34" spans="2:11" ht="12.75">
      <c r="B34" s="727" t="s">
        <v>163</v>
      </c>
      <c r="C34" s="727"/>
      <c r="D34" s="476">
        <v>361</v>
      </c>
      <c r="E34" s="476">
        <v>147</v>
      </c>
      <c r="G34" s="681" t="str">
        <f>IF(AND(J35="",J37=""),"","Разлика между БАЛАНСА и ПРИЛОЖЕНИЕТО!")</f>
        <v>Разлика между БАЛАНСА и ПРИЛОЖЕНИЕТО!</v>
      </c>
      <c r="H34" s="681"/>
      <c r="I34" s="681"/>
      <c r="J34" s="681"/>
      <c r="K34" s="681"/>
    </row>
    <row r="35" spans="2:11" ht="12.75">
      <c r="B35" s="726" t="s">
        <v>488</v>
      </c>
      <c r="C35" s="726"/>
      <c r="D35" s="486">
        <v>55</v>
      </c>
      <c r="E35" s="486">
        <v>59</v>
      </c>
      <c r="G35" s="680" t="str">
        <f>IF(J35="","","Разлика текущ период:")</f>
        <v>Разлика текущ период:</v>
      </c>
      <c r="H35" s="680"/>
      <c r="I35" s="680"/>
      <c r="J35" s="405">
        <f>IF(D38=баланс!E90,"",D38-баланс!E90)</f>
        <v>-214</v>
      </c>
      <c r="K35" s="406"/>
    </row>
    <row r="36" spans="2:11" ht="12.75">
      <c r="B36" s="727" t="s">
        <v>489</v>
      </c>
      <c r="C36" s="727"/>
      <c r="D36" s="476">
        <v>34</v>
      </c>
      <c r="E36" s="476"/>
      <c r="G36" s="678" t="str">
        <f>IF(J35="","","Сума по баланс:")</f>
        <v>Сума по баланс:</v>
      </c>
      <c r="H36" s="678"/>
      <c r="I36" s="678"/>
      <c r="J36" s="407">
        <f>IF(J35="","",баланс!E90)</f>
        <v>609</v>
      </c>
      <c r="K36" s="406"/>
    </row>
    <row r="37" spans="2:11" ht="12.75">
      <c r="B37" s="726" t="s">
        <v>488</v>
      </c>
      <c r="C37" s="726"/>
      <c r="D37" s="486">
        <v>11</v>
      </c>
      <c r="E37" s="486"/>
      <c r="G37" s="680" t="str">
        <f>IF(J37="","","Разлика предходен период:")</f>
        <v>Разлика предходен период:</v>
      </c>
      <c r="H37" s="680"/>
      <c r="I37" s="680"/>
      <c r="J37" s="405">
        <f>IF(E38=баланс!G90,"",E38-баланс!G90)</f>
        <v>-76</v>
      </c>
      <c r="K37" s="406"/>
    </row>
    <row r="38" spans="2:11" ht="12.75">
      <c r="B38" s="688" t="s">
        <v>231</v>
      </c>
      <c r="C38" s="688"/>
      <c r="D38" s="449">
        <f>D34+D36</f>
        <v>395</v>
      </c>
      <c r="E38" s="449">
        <f>E34+E36</f>
        <v>147</v>
      </c>
      <c r="G38" s="678" t="str">
        <f>IF(J37="","","Сума по баланс:")</f>
        <v>Сума по баланс:</v>
      </c>
      <c r="H38" s="678"/>
      <c r="I38" s="678"/>
      <c r="J38" s="407">
        <f>IF(J37="","",баланс!G90)</f>
        <v>223</v>
      </c>
      <c r="K38" s="406"/>
    </row>
    <row r="41" ht="12.75">
      <c r="D41" s="478" t="s">
        <v>98</v>
      </c>
    </row>
    <row r="42" ht="12.75">
      <c r="D42" s="478" t="s">
        <v>98</v>
      </c>
    </row>
  </sheetData>
  <mergeCells count="53">
    <mergeCell ref="B1:E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G10:K10"/>
    <mergeCell ref="B11:C11"/>
    <mergeCell ref="G11:I11"/>
    <mergeCell ref="B12:C12"/>
    <mergeCell ref="G12:I12"/>
    <mergeCell ref="B13:C13"/>
    <mergeCell ref="G13:I13"/>
    <mergeCell ref="B14:C14"/>
    <mergeCell ref="G14:I14"/>
    <mergeCell ref="B15:E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G27:K27"/>
    <mergeCell ref="B28:C28"/>
    <mergeCell ref="G28:I28"/>
    <mergeCell ref="B29:C29"/>
    <mergeCell ref="G29:I29"/>
    <mergeCell ref="B30:C30"/>
    <mergeCell ref="G30:I30"/>
    <mergeCell ref="B31:C31"/>
    <mergeCell ref="G31:I31"/>
    <mergeCell ref="B32:E32"/>
    <mergeCell ref="B33:C33"/>
    <mergeCell ref="B34:C34"/>
    <mergeCell ref="G34:K34"/>
    <mergeCell ref="B35:C35"/>
    <mergeCell ref="G35:I35"/>
    <mergeCell ref="B36:C36"/>
    <mergeCell ref="G36:I36"/>
    <mergeCell ref="B37:C37"/>
    <mergeCell ref="G37:I37"/>
    <mergeCell ref="B38:C38"/>
    <mergeCell ref="G38:I38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J65"/>
  <sheetViews>
    <sheetView tabSelected="1" zoomScaleSheetLayoutView="80" workbookViewId="0" topLeftCell="A1">
      <selection activeCell="A16" sqref="A16"/>
    </sheetView>
  </sheetViews>
  <sheetFormatPr defaultColWidth="9.140625" defaultRowHeight="12.75"/>
  <cols>
    <col min="1" max="1" width="50.7109375" style="18" customWidth="1"/>
    <col min="2" max="2" width="1.7109375" style="18" customWidth="1"/>
    <col min="3" max="3" width="10.28125" style="19" customWidth="1"/>
    <col min="4" max="4" width="1.7109375" style="19" customWidth="1"/>
    <col min="5" max="5" width="13.57421875" style="20" customWidth="1"/>
    <col min="6" max="6" width="1.421875" style="18" customWidth="1"/>
    <col min="7" max="7" width="13.57421875" style="20" customWidth="1"/>
    <col min="8" max="8" width="6.28125" style="18" customWidth="1"/>
    <col min="9" max="9" width="5.00390625" style="18" customWidth="1"/>
    <col min="10" max="16384" width="9.140625" style="18" customWidth="1"/>
  </cols>
  <sheetData>
    <row r="1" spans="1:8" ht="14.25">
      <c r="A1" s="610" t="str">
        <f>НАЧАЛО!B3</f>
        <v>ТРАНССТРОЙ-БУРГАС АД</v>
      </c>
      <c r="B1" s="610"/>
      <c r="C1" s="610"/>
      <c r="D1" s="610"/>
      <c r="E1" s="610"/>
      <c r="F1" s="610"/>
      <c r="G1" s="610"/>
      <c r="H1" s="21"/>
    </row>
    <row r="2" spans="1:8" s="23" customFormat="1" ht="14.25">
      <c r="A2" s="611" t="str">
        <f>CONCATENATE("КОНСОЛИДИРАН ОТЧЕТ ЗА ДОХОДИТЕ ",НАЧАЛО!AA3,НАЧАЛО!AD1," година")</f>
        <v>КОНСОЛИДИРАН ОТЧЕТ ЗА ДОХОДИТЕ към 30.9.2010 година</v>
      </c>
      <c r="B2" s="611"/>
      <c r="C2" s="611"/>
      <c r="D2" s="611"/>
      <c r="E2" s="611"/>
      <c r="F2" s="611"/>
      <c r="G2" s="611"/>
      <c r="H2" s="22"/>
    </row>
    <row r="3" spans="1:8" ht="9" customHeight="1">
      <c r="A3" s="24"/>
      <c r="B3" s="24"/>
      <c r="C3" s="25"/>
      <c r="D3" s="26"/>
      <c r="E3" s="27"/>
      <c r="F3" s="26"/>
      <c r="G3" s="27"/>
      <c r="H3" s="21"/>
    </row>
    <row r="4" spans="1:10" ht="15.75" customHeight="1">
      <c r="A4" s="28"/>
      <c r="B4" s="28"/>
      <c r="C4" s="28"/>
      <c r="D4" s="28"/>
      <c r="E4" s="29" t="str">
        <f>НАЧАЛО!AD1&amp;" г."</f>
        <v>30.9.2010 г.</v>
      </c>
      <c r="F4" s="29"/>
      <c r="G4" s="29" t="str">
        <f>НАЧАЛО!AF1&amp;" г."</f>
        <v>30.9.2009 г.</v>
      </c>
      <c r="H4" s="22"/>
      <c r="I4" s="23"/>
      <c r="J4" s="23"/>
    </row>
    <row r="5" spans="1:10" ht="15.75" customHeight="1">
      <c r="A5" s="28"/>
      <c r="B5" s="28"/>
      <c r="C5" s="30" t="s">
        <v>54</v>
      </c>
      <c r="D5" s="28"/>
      <c r="E5" s="29" t="s">
        <v>55</v>
      </c>
      <c r="F5" s="31"/>
      <c r="G5" s="29" t="s">
        <v>55</v>
      </c>
      <c r="H5" s="22"/>
      <c r="I5" s="23"/>
      <c r="J5" s="23"/>
    </row>
    <row r="6" spans="1:8" ht="15.75">
      <c r="A6" s="32" t="s">
        <v>56</v>
      </c>
      <c r="B6" s="32"/>
      <c r="C6" s="30"/>
      <c r="D6" s="33"/>
      <c r="E6" s="34"/>
      <c r="F6" s="35"/>
      <c r="G6" s="34"/>
      <c r="H6" s="21"/>
    </row>
    <row r="7" spans="1:8" ht="6.75" customHeight="1">
      <c r="A7" s="28"/>
      <c r="B7" s="28"/>
      <c r="C7" s="33"/>
      <c r="D7" s="33"/>
      <c r="E7" s="34"/>
      <c r="F7" s="35"/>
      <c r="G7" s="34"/>
      <c r="H7" s="21"/>
    </row>
    <row r="8" spans="1:8" s="43" customFormat="1" ht="15.75" customHeight="1">
      <c r="A8" s="36" t="s">
        <v>57</v>
      </c>
      <c r="B8" s="37"/>
      <c r="C8" s="38" t="s">
        <v>58</v>
      </c>
      <c r="D8" s="39"/>
      <c r="E8" s="40">
        <f>SUM(E9:E12)</f>
        <v>5256</v>
      </c>
      <c r="F8" s="41"/>
      <c r="G8" s="40">
        <f>SUM(G9:G12)</f>
        <v>4510</v>
      </c>
      <c r="H8" s="42"/>
    </row>
    <row r="9" spans="1:8" ht="15" customHeight="1">
      <c r="A9" s="44" t="s">
        <v>59</v>
      </c>
      <c r="B9" s="44"/>
      <c r="C9" s="45"/>
      <c r="D9" s="45"/>
      <c r="E9" s="46">
        <v>5</v>
      </c>
      <c r="F9" s="41"/>
      <c r="G9" s="46">
        <v>175</v>
      </c>
      <c r="H9" s="21"/>
    </row>
    <row r="10" spans="1:8" s="43" customFormat="1" ht="15.75" customHeight="1">
      <c r="A10" s="44" t="s">
        <v>60</v>
      </c>
      <c r="B10" s="44"/>
      <c r="C10" s="45"/>
      <c r="D10" s="45"/>
      <c r="E10" s="46">
        <v>5063</v>
      </c>
      <c r="F10" s="41"/>
      <c r="G10" s="46">
        <v>4028</v>
      </c>
      <c r="H10" s="42"/>
    </row>
    <row r="11" spans="1:8" s="43" customFormat="1" ht="15">
      <c r="A11" s="44" t="s">
        <v>61</v>
      </c>
      <c r="B11" s="44"/>
      <c r="C11" s="45"/>
      <c r="D11" s="45"/>
      <c r="E11" s="46"/>
      <c r="F11" s="41"/>
      <c r="G11" s="46"/>
      <c r="H11" s="42"/>
    </row>
    <row r="12" spans="1:8" s="43" customFormat="1" ht="15">
      <c r="A12" s="44" t="s">
        <v>62</v>
      </c>
      <c r="B12" s="44"/>
      <c r="C12" s="45"/>
      <c r="D12" s="45"/>
      <c r="E12" s="46">
        <v>188</v>
      </c>
      <c r="F12" s="47"/>
      <c r="G12" s="46">
        <v>307</v>
      </c>
      <c r="H12" s="42"/>
    </row>
    <row r="13" spans="1:8" s="43" customFormat="1" ht="15.75" customHeight="1">
      <c r="A13" s="37"/>
      <c r="B13" s="37"/>
      <c r="C13" s="48"/>
      <c r="D13" s="39"/>
      <c r="E13" s="46"/>
      <c r="F13" s="46"/>
      <c r="G13" s="46"/>
      <c r="H13" s="42"/>
    </row>
    <row r="14" spans="1:8" s="43" customFormat="1" ht="15.75" customHeight="1">
      <c r="A14" s="36" t="s">
        <v>63</v>
      </c>
      <c r="B14" s="37"/>
      <c r="C14" s="38" t="s">
        <v>64</v>
      </c>
      <c r="D14" s="39"/>
      <c r="E14" s="40"/>
      <c r="F14" s="46"/>
      <c r="G14" s="40"/>
      <c r="H14" s="42"/>
    </row>
    <row r="15" spans="1:8" s="43" customFormat="1" ht="7.5" customHeight="1">
      <c r="A15" s="37"/>
      <c r="B15" s="37"/>
      <c r="C15" s="45"/>
      <c r="D15" s="39"/>
      <c r="E15" s="49"/>
      <c r="F15" s="50"/>
      <c r="G15" s="49"/>
      <c r="H15" s="42"/>
    </row>
    <row r="16" spans="1:8" s="43" customFormat="1" ht="17.25" customHeight="1">
      <c r="A16" s="36" t="s">
        <v>65</v>
      </c>
      <c r="B16" s="37"/>
      <c r="C16" s="38" t="s">
        <v>66</v>
      </c>
      <c r="D16" s="39"/>
      <c r="E16" s="40">
        <v>46</v>
      </c>
      <c r="F16" s="46"/>
      <c r="G16" s="40">
        <v>0</v>
      </c>
      <c r="H16" s="42"/>
    </row>
    <row r="17" spans="1:8" s="43" customFormat="1" ht="7.5" customHeight="1">
      <c r="A17" s="37"/>
      <c r="B17" s="37"/>
      <c r="C17" s="45"/>
      <c r="D17" s="39"/>
      <c r="E17" s="49"/>
      <c r="F17" s="50"/>
      <c r="G17" s="49"/>
      <c r="H17" s="42"/>
    </row>
    <row r="18" spans="1:8" s="43" customFormat="1" ht="15.75" customHeight="1">
      <c r="A18" s="51" t="s">
        <v>67</v>
      </c>
      <c r="B18" s="31"/>
      <c r="C18" s="52"/>
      <c r="D18" s="39"/>
      <c r="E18" s="53">
        <f>E8+E14+E16</f>
        <v>5302</v>
      </c>
      <c r="F18" s="54"/>
      <c r="G18" s="53">
        <f>G8+G14+G16</f>
        <v>4510</v>
      </c>
      <c r="H18" s="42"/>
    </row>
    <row r="19" spans="1:8" s="43" customFormat="1" ht="15">
      <c r="A19" s="44"/>
      <c r="B19" s="44"/>
      <c r="C19" s="45"/>
      <c r="D19" s="45"/>
      <c r="E19" s="46"/>
      <c r="F19" s="55"/>
      <c r="G19" s="46"/>
      <c r="H19" s="42"/>
    </row>
    <row r="20" spans="1:8" s="43" customFormat="1" ht="18" customHeight="1">
      <c r="A20" s="31" t="s">
        <v>68</v>
      </c>
      <c r="B20" s="31"/>
      <c r="C20" s="45"/>
      <c r="D20" s="39"/>
      <c r="E20" s="46"/>
      <c r="F20" s="45"/>
      <c r="G20" s="46"/>
      <c r="H20" s="56"/>
    </row>
    <row r="21" spans="1:8" s="43" customFormat="1" ht="15">
      <c r="A21" s="36" t="s">
        <v>69</v>
      </c>
      <c r="B21" s="37"/>
      <c r="C21" s="57"/>
      <c r="D21" s="39"/>
      <c r="E21" s="40">
        <f>SUM(E22:E27)</f>
        <v>-7905</v>
      </c>
      <c r="F21" s="45"/>
      <c r="G21" s="40">
        <v>-4223</v>
      </c>
      <c r="H21" s="56"/>
    </row>
    <row r="22" spans="1:8" s="43" customFormat="1" ht="15">
      <c r="A22" s="44" t="s">
        <v>70</v>
      </c>
      <c r="B22" s="44"/>
      <c r="C22" s="58" t="s">
        <v>71</v>
      </c>
      <c r="D22" s="45"/>
      <c r="E22" s="46">
        <v>-3668</v>
      </c>
      <c r="F22" s="41"/>
      <c r="G22" s="46">
        <v>-1074</v>
      </c>
      <c r="H22" s="59"/>
    </row>
    <row r="23" spans="1:8" s="43" customFormat="1" ht="15">
      <c r="A23" s="44" t="s">
        <v>72</v>
      </c>
      <c r="B23" s="44"/>
      <c r="C23" s="58" t="s">
        <v>73</v>
      </c>
      <c r="D23" s="45"/>
      <c r="E23" s="60">
        <v>-2210</v>
      </c>
      <c r="F23" s="41"/>
      <c r="G23" s="46">
        <v>-1885</v>
      </c>
      <c r="H23" s="59"/>
    </row>
    <row r="24" spans="1:8" s="43" customFormat="1" ht="15">
      <c r="A24" s="44" t="s">
        <v>74</v>
      </c>
      <c r="B24" s="44"/>
      <c r="C24" s="58" t="s">
        <v>75</v>
      </c>
      <c r="D24" s="45"/>
      <c r="E24" s="46">
        <v>-848</v>
      </c>
      <c r="F24" s="41"/>
      <c r="G24" s="46">
        <v>-529</v>
      </c>
      <c r="H24" s="59"/>
    </row>
    <row r="25" spans="1:8" s="43" customFormat="1" ht="15">
      <c r="A25" s="44" t="s">
        <v>76</v>
      </c>
      <c r="B25" s="44"/>
      <c r="C25" s="58" t="s">
        <v>77</v>
      </c>
      <c r="D25" s="45"/>
      <c r="E25" s="46">
        <v>-1107</v>
      </c>
      <c r="F25" s="41"/>
      <c r="G25" s="46">
        <v>-696</v>
      </c>
      <c r="H25" s="59"/>
    </row>
    <row r="26" spans="1:8" s="43" customFormat="1" ht="15">
      <c r="A26" s="44" t="s">
        <v>78</v>
      </c>
      <c r="B26" s="44"/>
      <c r="C26" s="58" t="s">
        <v>79</v>
      </c>
      <c r="D26" s="45"/>
      <c r="E26" s="46"/>
      <c r="F26" s="41"/>
      <c r="G26" s="46">
        <v>0</v>
      </c>
      <c r="H26" s="59"/>
    </row>
    <row r="27" spans="1:8" s="43" customFormat="1" ht="15">
      <c r="A27" s="44" t="s">
        <v>80</v>
      </c>
      <c r="B27" s="44"/>
      <c r="C27" s="58" t="s">
        <v>81</v>
      </c>
      <c r="D27" s="45"/>
      <c r="E27" s="46">
        <v>-72</v>
      </c>
      <c r="F27" s="41"/>
      <c r="G27" s="46">
        <v>-39</v>
      </c>
      <c r="H27" s="59"/>
    </row>
    <row r="28" spans="1:8" s="43" customFormat="1" ht="9" customHeight="1">
      <c r="A28" s="44"/>
      <c r="B28" s="44"/>
      <c r="C28" s="58"/>
      <c r="D28" s="45"/>
      <c r="E28" s="46"/>
      <c r="F28" s="45"/>
      <c r="G28" s="46"/>
      <c r="H28" s="56"/>
    </row>
    <row r="29" spans="1:8" s="43" customFormat="1" ht="15">
      <c r="A29" s="36" t="s">
        <v>82</v>
      </c>
      <c r="B29" s="37"/>
      <c r="C29" s="38" t="s">
        <v>83</v>
      </c>
      <c r="D29" s="39"/>
      <c r="E29" s="40">
        <f>SUM(E30:E33)</f>
        <v>3207</v>
      </c>
      <c r="F29" s="45"/>
      <c r="G29" s="40">
        <f>SUM(G30:G33)</f>
        <v>123</v>
      </c>
      <c r="H29" s="56"/>
    </row>
    <row r="30" spans="1:8" s="43" customFormat="1" ht="30">
      <c r="A30" s="61" t="s">
        <v>84</v>
      </c>
      <c r="B30" s="61"/>
      <c r="C30" s="62"/>
      <c r="D30" s="62"/>
      <c r="E30" s="46"/>
      <c r="F30" s="41"/>
      <c r="G30" s="46">
        <v>-2</v>
      </c>
      <c r="H30" s="59"/>
    </row>
    <row r="31" spans="1:8" s="43" customFormat="1" ht="18.75" customHeight="1">
      <c r="A31" s="61" t="s">
        <v>85</v>
      </c>
      <c r="B31" s="61"/>
      <c r="C31" s="62"/>
      <c r="D31" s="62"/>
      <c r="E31" s="60">
        <v>0</v>
      </c>
      <c r="F31" s="41"/>
      <c r="G31" s="46">
        <v>0</v>
      </c>
      <c r="H31" s="59"/>
    </row>
    <row r="32" spans="1:8" s="43" customFormat="1" ht="28.5" customHeight="1">
      <c r="A32" s="61" t="s">
        <v>86</v>
      </c>
      <c r="B32" s="61"/>
      <c r="C32" s="62"/>
      <c r="D32" s="62"/>
      <c r="E32" s="46">
        <v>3262</v>
      </c>
      <c r="F32" s="41"/>
      <c r="G32" s="46">
        <v>125</v>
      </c>
      <c r="H32" s="59"/>
    </row>
    <row r="33" spans="1:8" s="43" customFormat="1" ht="15">
      <c r="A33" s="61" t="s">
        <v>62</v>
      </c>
      <c r="B33" s="61"/>
      <c r="C33" s="62"/>
      <c r="D33" s="62"/>
      <c r="E33" s="46">
        <v>-55</v>
      </c>
      <c r="F33" s="41"/>
      <c r="G33" s="46"/>
      <c r="H33" s="59"/>
    </row>
    <row r="34" spans="1:8" s="43" customFormat="1" ht="9" customHeight="1">
      <c r="A34" s="44"/>
      <c r="B34" s="44"/>
      <c r="C34" s="45"/>
      <c r="D34" s="45"/>
      <c r="E34" s="46"/>
      <c r="F34" s="45"/>
      <c r="G34" s="46"/>
      <c r="H34" s="56"/>
    </row>
    <row r="35" spans="1:8" s="43" customFormat="1" ht="15">
      <c r="A35" s="36" t="s">
        <v>87</v>
      </c>
      <c r="B35" s="37"/>
      <c r="C35" s="38" t="s">
        <v>88</v>
      </c>
      <c r="D35" s="39"/>
      <c r="E35" s="40">
        <v>-716</v>
      </c>
      <c r="F35" s="39"/>
      <c r="G35" s="40">
        <v>-275</v>
      </c>
      <c r="H35" s="56"/>
    </row>
    <row r="36" spans="1:8" s="43" customFormat="1" ht="9" customHeight="1">
      <c r="A36" s="37"/>
      <c r="B36" s="37"/>
      <c r="C36" s="45"/>
      <c r="D36" s="39"/>
      <c r="E36" s="46"/>
      <c r="F36" s="13"/>
      <c r="G36" s="63"/>
      <c r="H36" s="56"/>
    </row>
    <row r="37" spans="1:8" s="43" customFormat="1" ht="15" customHeight="1">
      <c r="A37" s="51" t="s">
        <v>89</v>
      </c>
      <c r="B37" s="31"/>
      <c r="C37" s="52"/>
      <c r="D37" s="39"/>
      <c r="E37" s="53">
        <f>E21+E29+E35</f>
        <v>-5414</v>
      </c>
      <c r="F37" s="54"/>
      <c r="G37" s="53">
        <f>G21+G29+G35</f>
        <v>-4375</v>
      </c>
      <c r="H37" s="56"/>
    </row>
    <row r="38" spans="1:8" s="43" customFormat="1" ht="9" customHeight="1">
      <c r="A38" s="37"/>
      <c r="B38" s="37"/>
      <c r="C38" s="45"/>
      <c r="D38" s="39"/>
      <c r="E38" s="46"/>
      <c r="F38" s="13"/>
      <c r="G38" s="63"/>
      <c r="H38" s="56"/>
    </row>
    <row r="39" spans="1:8" s="43" customFormat="1" ht="15" customHeight="1">
      <c r="A39" s="36" t="s">
        <v>90</v>
      </c>
      <c r="B39" s="37"/>
      <c r="C39" s="38" t="s">
        <v>83</v>
      </c>
      <c r="D39" s="39"/>
      <c r="E39" s="40"/>
      <c r="F39" s="39"/>
      <c r="G39" s="40"/>
      <c r="H39" s="56"/>
    </row>
    <row r="40" spans="1:8" s="43" customFormat="1" ht="9" customHeight="1">
      <c r="A40" s="37"/>
      <c r="B40" s="37"/>
      <c r="C40" s="45"/>
      <c r="D40" s="39"/>
      <c r="E40" s="46"/>
      <c r="F40" s="13"/>
      <c r="G40" s="63"/>
      <c r="H40" s="56"/>
    </row>
    <row r="41" spans="1:8" s="43" customFormat="1" ht="15" customHeight="1">
      <c r="A41" s="51" t="s">
        <v>91</v>
      </c>
      <c r="B41" s="31"/>
      <c r="C41" s="52"/>
      <c r="D41" s="39"/>
      <c r="E41" s="53">
        <f>E18+E37</f>
        <v>-112</v>
      </c>
      <c r="F41" s="54"/>
      <c r="G41" s="53">
        <f>G18+G37</f>
        <v>135</v>
      </c>
      <c r="H41" s="56"/>
    </row>
    <row r="42" spans="1:8" s="43" customFormat="1" ht="17.25" customHeight="1">
      <c r="A42" s="37" t="s">
        <v>92</v>
      </c>
      <c r="B42" s="37"/>
      <c r="C42" s="45"/>
      <c r="D42" s="39"/>
      <c r="E42" s="46">
        <v>-32</v>
      </c>
      <c r="F42" s="45"/>
      <c r="G42" s="46">
        <v>-51</v>
      </c>
      <c r="H42" s="56"/>
    </row>
    <row r="43" spans="1:8" s="43" customFormat="1" ht="15" customHeight="1">
      <c r="A43" s="36" t="s">
        <v>93</v>
      </c>
      <c r="B43" s="37"/>
      <c r="C43" s="38" t="s">
        <v>94</v>
      </c>
      <c r="D43" s="39"/>
      <c r="E43" s="40">
        <f>SUM(E44:E45)</f>
        <v>0</v>
      </c>
      <c r="F43" s="45"/>
      <c r="G43" s="40">
        <f>SUM(G44:G45)</f>
        <v>23</v>
      </c>
      <c r="H43" s="56"/>
    </row>
    <row r="44" spans="1:8" s="43" customFormat="1" ht="15">
      <c r="A44" s="64" t="s">
        <v>95</v>
      </c>
      <c r="B44" s="64"/>
      <c r="C44" s="45"/>
      <c r="D44" s="39"/>
      <c r="E44" s="46"/>
      <c r="F44" s="46"/>
      <c r="G44" s="46">
        <v>23</v>
      </c>
      <c r="H44" s="56"/>
    </row>
    <row r="45" spans="1:8" s="43" customFormat="1" ht="15">
      <c r="A45" s="64" t="s">
        <v>96</v>
      </c>
      <c r="B45" s="64"/>
      <c r="C45" s="45"/>
      <c r="D45" s="39"/>
      <c r="E45" s="46"/>
      <c r="F45" s="46"/>
      <c r="G45" s="46"/>
      <c r="H45" s="56"/>
    </row>
    <row r="46" spans="1:8" s="43" customFormat="1" ht="3.75" customHeight="1">
      <c r="A46" s="44"/>
      <c r="B46" s="44"/>
      <c r="C46" s="45"/>
      <c r="D46" s="45"/>
      <c r="E46" s="62"/>
      <c r="F46" s="62"/>
      <c r="G46" s="62"/>
      <c r="H46" s="56"/>
    </row>
    <row r="47" spans="1:8" s="43" customFormat="1" ht="15">
      <c r="A47" s="51" t="s">
        <v>97</v>
      </c>
      <c r="B47" s="31"/>
      <c r="C47" s="52"/>
      <c r="D47" s="39"/>
      <c r="E47" s="53">
        <f>E41-E43</f>
        <v>-112</v>
      </c>
      <c r="F47" s="54"/>
      <c r="G47" s="53">
        <f>G41-G43</f>
        <v>112</v>
      </c>
      <c r="H47" s="65"/>
    </row>
    <row r="48" spans="1:8" s="43" customFormat="1" ht="15" customHeight="1">
      <c r="A48" s="612">
        <f>IF(AND(E$48="",G$48=""),"","Разлика в резултата между ОПР и БАЛАНСА!")</f>
      </c>
      <c r="B48" s="612"/>
      <c r="C48" s="612"/>
      <c r="D48" s="13"/>
      <c r="E48" s="66">
        <f>IF(E47=баланс!E65,"",ОПР!E47-баланс!E65)</f>
      </c>
      <c r="F48" s="13"/>
      <c r="G48" s="66">
        <f>IF(НАЧАЛО!AB$3=1,IF(G$47=баланс!G$65,"",ОПР!G47-баланс!G$65),"")</f>
      </c>
      <c r="H48" s="67"/>
    </row>
    <row r="49" spans="1:8" ht="15">
      <c r="A49" s="607" t="str">
        <f>CONCATENATE("Приложенията от страница ",НАЧАЛО!O43," до страница ",НАЧАЛО!Q43," са неразделна част от финансовия отчет.")</f>
        <v>Приложенията от страница 1 до страница 4 са неразделна част от финансовия отчет.</v>
      </c>
      <c r="B49" s="607"/>
      <c r="C49" s="607"/>
      <c r="D49" s="607"/>
      <c r="E49" s="607"/>
      <c r="F49" s="607"/>
      <c r="G49" s="607"/>
      <c r="H49" s="14"/>
    </row>
    <row r="50" spans="1:8" ht="14.25">
      <c r="A50" s="609">
        <f>IF(AND(E$48="",G$48=""),"","Резултат в БАЛАНСА:")</f>
      </c>
      <c r="B50" s="609"/>
      <c r="C50" s="609"/>
      <c r="D50" s="68"/>
      <c r="E50" s="69">
        <f>IF(E$47=баланс!E$65,"",баланс!E$65)</f>
      </c>
      <c r="F50" s="68"/>
      <c r="G50" s="69">
        <f>IF(НАЧАЛО!AB$3=1,IF(G$47=баланс!G$65,"",баланс!G$65),"")</f>
      </c>
      <c r="H50" s="14"/>
    </row>
    <row r="51" spans="1:8" ht="15">
      <c r="A51" s="70" t="str">
        <f>НАЧАЛО!$A$44</f>
        <v>Представляващ:</v>
      </c>
      <c r="B51" s="71"/>
      <c r="C51" s="72"/>
      <c r="D51" s="14"/>
      <c r="E51" s="14"/>
      <c r="F51" s="14"/>
      <c r="G51" s="14"/>
      <c r="H51" s="14"/>
    </row>
    <row r="52" spans="1:8" ht="15">
      <c r="A52" s="73" t="s">
        <v>812</v>
      </c>
      <c r="B52" s="74"/>
      <c r="C52" s="14"/>
      <c r="D52" s="14"/>
      <c r="E52" s="14"/>
      <c r="F52" s="14"/>
      <c r="G52" s="14"/>
      <c r="H52" s="14"/>
    </row>
    <row r="53" spans="1:8" ht="15">
      <c r="A53" s="73"/>
      <c r="B53" s="74"/>
      <c r="C53" s="14"/>
      <c r="D53" s="14"/>
      <c r="E53" s="14"/>
      <c r="F53" s="14"/>
      <c r="G53" s="14"/>
      <c r="H53" s="14"/>
    </row>
    <row r="54" spans="1:8" ht="14.25">
      <c r="A54" s="73" t="s">
        <v>98</v>
      </c>
      <c r="B54" s="14"/>
      <c r="C54" s="14"/>
      <c r="D54" s="14"/>
      <c r="E54" s="14"/>
      <c r="F54" s="14"/>
      <c r="G54" s="14"/>
      <c r="H54" s="14"/>
    </row>
    <row r="55" spans="1:8" ht="14.25">
      <c r="A55" s="73"/>
      <c r="B55" s="14"/>
      <c r="C55" s="14"/>
      <c r="D55" s="14"/>
      <c r="E55" s="14"/>
      <c r="F55" s="14"/>
      <c r="G55" s="14"/>
      <c r="H55" s="14"/>
    </row>
    <row r="56" spans="1:8" ht="14.25">
      <c r="A56" s="75" t="str">
        <f>НАЧАЛО!$F$44</f>
        <v>Съставител:</v>
      </c>
      <c r="B56" s="75"/>
      <c r="C56" s="76"/>
      <c r="D56" s="76"/>
      <c r="E56" s="77"/>
      <c r="F56" s="14"/>
      <c r="G56" s="77"/>
      <c r="H56" s="14"/>
    </row>
    <row r="57" spans="1:8" ht="14.25">
      <c r="A57" s="78" t="s">
        <v>814</v>
      </c>
      <c r="B57" s="79"/>
      <c r="C57" s="76"/>
      <c r="D57" s="76"/>
      <c r="E57" s="77"/>
      <c r="F57" s="14"/>
      <c r="G57" s="77"/>
      <c r="H57" s="14"/>
    </row>
    <row r="58" spans="1:8" ht="14.25">
      <c r="A58" s="75"/>
      <c r="B58" s="75"/>
      <c r="C58" s="76"/>
      <c r="D58" s="76"/>
      <c r="E58" s="77"/>
      <c r="F58" s="14"/>
      <c r="G58" s="77"/>
      <c r="H58" s="14"/>
    </row>
    <row r="59" spans="1:8" ht="14.25">
      <c r="A59" s="78"/>
      <c r="B59" s="79"/>
      <c r="C59" s="76"/>
      <c r="D59" s="76"/>
      <c r="E59" s="77"/>
      <c r="F59" s="14"/>
      <c r="G59" s="77"/>
      <c r="H59" s="14"/>
    </row>
    <row r="60" spans="1:8" ht="14.25">
      <c r="A60" s="73"/>
      <c r="B60" s="14"/>
      <c r="C60" s="76"/>
      <c r="D60" s="76"/>
      <c r="E60" s="77"/>
      <c r="F60" s="14"/>
      <c r="G60" s="77"/>
      <c r="H60" s="14"/>
    </row>
    <row r="61" spans="1:8" ht="12.75" customHeight="1">
      <c r="A61" s="80"/>
      <c r="B61" s="81"/>
      <c r="C61" s="76"/>
      <c r="D61" s="76"/>
      <c r="E61" s="77"/>
      <c r="F61" s="14"/>
      <c r="G61" s="77"/>
      <c r="H61" s="14"/>
    </row>
    <row r="62" spans="1:8" ht="14.25">
      <c r="A62" s="73" t="str">
        <f>НАЧАЛО!$C$58</f>
        <v>БУРГАС, 30 ноември 2010 г.</v>
      </c>
      <c r="B62" s="14"/>
      <c r="C62" s="76"/>
      <c r="D62" s="76"/>
      <c r="E62" s="77"/>
      <c r="F62" s="14"/>
      <c r="G62" s="77"/>
      <c r="H62" s="14"/>
    </row>
    <row r="63" spans="1:2" ht="15">
      <c r="A63" s="82"/>
      <c r="B63" s="82"/>
    </row>
    <row r="65" spans="1:2" ht="15">
      <c r="A65" s="83"/>
      <c r="B65" s="83"/>
    </row>
  </sheetData>
  <mergeCells count="5">
    <mergeCell ref="A50:C50"/>
    <mergeCell ref="A1:G1"/>
    <mergeCell ref="A2:G2"/>
    <mergeCell ref="A48:C48"/>
    <mergeCell ref="A49:G49"/>
  </mergeCells>
  <printOptions horizontalCentered="1"/>
  <pageMargins left="0.7479166666666667" right="0.7479166666666667" top="0.47222222222222227" bottom="0.7083333333333334" header="0.5118055555555556" footer="0.5118055555555556"/>
  <pageSetup firstPageNumber="1" useFirstPageNumber="1" fitToHeight="1" fitToWidth="1" horizontalDpi="300" verticalDpi="300" orientation="portrait" paperSize="9" scale="84" r:id="rId3"/>
  <colBreaks count="1" manualBreakCount="1">
    <brk id="7" max="65535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K15"/>
  <sheetViews>
    <sheetView workbookViewId="0" topLeftCell="A1">
      <selection activeCell="D5" sqref="D5"/>
    </sheetView>
  </sheetViews>
  <sheetFormatPr defaultColWidth="9.140625" defaultRowHeight="12.75"/>
  <cols>
    <col min="1" max="1" width="5.7109375" style="1" customWidth="1"/>
    <col min="2" max="2" width="16.00390625" style="1" customWidth="1"/>
    <col min="3" max="3" width="22.421875" style="1" customWidth="1"/>
    <col min="4" max="5" width="12.140625" style="1" customWidth="1"/>
    <col min="6" max="16384" width="9.140625" style="1" customWidth="1"/>
  </cols>
  <sheetData>
    <row r="1" spans="2:5" ht="14.25">
      <c r="B1" s="705" t="s">
        <v>165</v>
      </c>
      <c r="C1" s="705"/>
      <c r="D1" s="705"/>
      <c r="E1" s="705"/>
    </row>
    <row r="2" spans="2:5" ht="12.75" customHeight="1">
      <c r="B2" s="704" t="s">
        <v>281</v>
      </c>
      <c r="C2" s="704"/>
      <c r="D2" s="487">
        <f>НАЧАЛО!AA2</f>
        <v>40451</v>
      </c>
      <c r="E2" s="409" t="str">
        <f>CONCATENATE("31.12.",YEAR(D2)-1," г.")</f>
        <v>31.12.2009 г.</v>
      </c>
    </row>
    <row r="3" spans="2:5" ht="12.75">
      <c r="B3" s="715" t="s">
        <v>490</v>
      </c>
      <c r="C3" s="715"/>
      <c r="D3" s="445">
        <f>SUM(D4:D8)</f>
        <v>508</v>
      </c>
      <c r="E3" s="445">
        <f>SUM(E4:E8)</f>
        <v>433</v>
      </c>
    </row>
    <row r="4" spans="2:5" ht="12.75">
      <c r="B4" s="714" t="s">
        <v>491</v>
      </c>
      <c r="C4" s="714"/>
      <c r="D4" s="446">
        <v>219</v>
      </c>
      <c r="E4" s="446">
        <v>149</v>
      </c>
    </row>
    <row r="5" spans="2:5" ht="12.75">
      <c r="B5" s="714" t="s">
        <v>492</v>
      </c>
      <c r="C5" s="714"/>
      <c r="D5" s="446">
        <v>66</v>
      </c>
      <c r="E5" s="446">
        <v>59</v>
      </c>
    </row>
    <row r="6" spans="2:5" ht="12.75">
      <c r="B6" s="714" t="s">
        <v>493</v>
      </c>
      <c r="C6" s="714"/>
      <c r="D6" s="446">
        <v>223</v>
      </c>
      <c r="E6" s="446">
        <v>225</v>
      </c>
    </row>
    <row r="7" spans="2:5" ht="12.75">
      <c r="B7" s="714" t="s">
        <v>494</v>
      </c>
      <c r="C7" s="714"/>
      <c r="D7" s="446"/>
      <c r="E7" s="446"/>
    </row>
    <row r="8" spans="2:5" ht="12.75">
      <c r="B8" s="714" t="s">
        <v>494</v>
      </c>
      <c r="C8" s="714"/>
      <c r="D8" s="446"/>
      <c r="E8" s="446"/>
    </row>
    <row r="9" spans="2:5" ht="12.75">
      <c r="B9" s="715" t="s">
        <v>495</v>
      </c>
      <c r="C9" s="715"/>
      <c r="D9" s="445">
        <f>SUM(D10:D14)</f>
        <v>0</v>
      </c>
      <c r="E9" s="445">
        <f>SUM(E10:E14)</f>
        <v>0</v>
      </c>
    </row>
    <row r="10" spans="2:5" ht="12.75">
      <c r="B10" s="714" t="s">
        <v>494</v>
      </c>
      <c r="C10" s="714"/>
      <c r="D10" s="446"/>
      <c r="E10" s="446"/>
    </row>
    <row r="11" spans="2:11" ht="12.75">
      <c r="B11" s="714" t="s">
        <v>494</v>
      </c>
      <c r="C11" s="714"/>
      <c r="D11" s="446"/>
      <c r="E11" s="446"/>
      <c r="G11" s="681" t="str">
        <f>IF(AND(J12="",J14=""),"","Разлика между БАЛАНСА и ПРИЛОЖЕНИЕТО!")</f>
        <v>Разлика между БАЛАНСА и ПРИЛОЖЕНИЕТО!</v>
      </c>
      <c r="H11" s="681"/>
      <c r="I11" s="681"/>
      <c r="J11" s="681"/>
      <c r="K11" s="681"/>
    </row>
    <row r="12" spans="2:11" ht="12.75">
      <c r="B12" s="714" t="s">
        <v>494</v>
      </c>
      <c r="C12" s="714"/>
      <c r="D12" s="446"/>
      <c r="E12" s="446"/>
      <c r="G12" s="680" t="str">
        <f>IF(J12="","","Разлика текущ период:")</f>
        <v>Разлика текущ период:</v>
      </c>
      <c r="H12" s="680"/>
      <c r="I12" s="680"/>
      <c r="J12" s="405">
        <f>IF(D15=баланс!E92,"",D15-баланс!E92)</f>
        <v>96</v>
      </c>
      <c r="K12" s="406"/>
    </row>
    <row r="13" spans="2:11" ht="12.75">
      <c r="B13" s="714" t="s">
        <v>494</v>
      </c>
      <c r="C13" s="714"/>
      <c r="D13" s="446"/>
      <c r="E13" s="446"/>
      <c r="G13" s="678" t="str">
        <f>IF(J12="","","Сума по баланс:")</f>
        <v>Сума по баланс:</v>
      </c>
      <c r="H13" s="678"/>
      <c r="I13" s="678"/>
      <c r="J13" s="407">
        <f>IF(J12="","",баланс!E92)</f>
        <v>412</v>
      </c>
      <c r="K13" s="406"/>
    </row>
    <row r="14" spans="2:11" ht="12.75">
      <c r="B14" s="714" t="s">
        <v>494</v>
      </c>
      <c r="C14" s="714"/>
      <c r="D14" s="446"/>
      <c r="E14" s="446"/>
      <c r="G14" s="680" t="str">
        <f>IF(J14="","","Разлика предходен период:")</f>
        <v>Разлика предходен период:</v>
      </c>
      <c r="H14" s="680"/>
      <c r="I14" s="680"/>
      <c r="J14" s="405">
        <f>IF(E15=баланс!G92,"",E15-баланс!G92)</f>
        <v>-74</v>
      </c>
      <c r="K14" s="406"/>
    </row>
    <row r="15" spans="2:11" ht="12.75">
      <c r="B15" s="688" t="s">
        <v>231</v>
      </c>
      <c r="C15" s="688"/>
      <c r="D15" s="449">
        <f>D3+D9</f>
        <v>508</v>
      </c>
      <c r="E15" s="449">
        <f>E3+E9</f>
        <v>433</v>
      </c>
      <c r="G15" s="678" t="str">
        <f>IF(J14="","","Сума по баланс:")</f>
        <v>Сума по баланс:</v>
      </c>
      <c r="H15" s="678"/>
      <c r="I15" s="678"/>
      <c r="J15" s="407">
        <f>IF(J14="","",баланс!G92)</f>
        <v>507</v>
      </c>
      <c r="K15" s="406"/>
    </row>
  </sheetData>
  <mergeCells count="20">
    <mergeCell ref="B1:E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G11:K11"/>
    <mergeCell ref="B12:C12"/>
    <mergeCell ref="G12:I12"/>
    <mergeCell ref="B13:C13"/>
    <mergeCell ref="G13:I13"/>
    <mergeCell ref="B14:C14"/>
    <mergeCell ref="G14:I14"/>
    <mergeCell ref="B15:C15"/>
    <mergeCell ref="G15:I15"/>
  </mergeCells>
  <printOptions/>
  <pageMargins left="0.7000000000000001" right="0.7000000000000001" top="0.75" bottom="0.75" header="0.5118055555555556" footer="0.5118055555555556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K37"/>
  <sheetViews>
    <sheetView workbookViewId="0" topLeftCell="A1">
      <selection activeCell="B13" sqref="B13"/>
    </sheetView>
  </sheetViews>
  <sheetFormatPr defaultColWidth="9.140625" defaultRowHeight="12.75"/>
  <cols>
    <col min="1" max="1" width="5.7109375" style="1" customWidth="1"/>
    <col min="2" max="2" width="16.00390625" style="1" customWidth="1"/>
    <col min="3" max="3" width="22.421875" style="1" customWidth="1"/>
    <col min="4" max="5" width="12.140625" style="1" customWidth="1"/>
    <col min="6" max="16384" width="9.140625" style="1" customWidth="1"/>
  </cols>
  <sheetData>
    <row r="1" spans="2:5" ht="14.25">
      <c r="B1" s="705" t="s">
        <v>496</v>
      </c>
      <c r="C1" s="705"/>
      <c r="D1" s="705"/>
      <c r="E1" s="705"/>
    </row>
    <row r="2" spans="2:5" ht="12.75" customHeight="1">
      <c r="B2" s="704" t="s">
        <v>281</v>
      </c>
      <c r="C2" s="704"/>
      <c r="D2" s="487">
        <f>НАЧАЛО!AA2</f>
        <v>40451</v>
      </c>
      <c r="E2" s="409" t="str">
        <f>CONCATENATE("31.12.",YEAR(D2)-1," г.")</f>
        <v>31.12.2009 г.</v>
      </c>
    </row>
    <row r="3" spans="2:5" ht="12.75">
      <c r="B3" s="714" t="s">
        <v>494</v>
      </c>
      <c r="C3" s="714"/>
      <c r="D3" s="446"/>
      <c r="E3" s="446"/>
    </row>
    <row r="4" spans="2:5" ht="12.75">
      <c r="B4" s="714" t="s">
        <v>494</v>
      </c>
      <c r="C4" s="714"/>
      <c r="D4" s="446"/>
      <c r="E4" s="446"/>
    </row>
    <row r="5" spans="2:5" ht="12.75">
      <c r="B5" s="714" t="s">
        <v>494</v>
      </c>
      <c r="C5" s="714"/>
      <c r="D5" s="446"/>
      <c r="E5" s="446"/>
    </row>
    <row r="6" spans="2:5" ht="12.75">
      <c r="B6" s="714" t="s">
        <v>494</v>
      </c>
      <c r="C6" s="714"/>
      <c r="D6" s="446"/>
      <c r="E6" s="446"/>
    </row>
    <row r="7" spans="2:5" ht="12.75">
      <c r="B7" s="714" t="s">
        <v>494</v>
      </c>
      <c r="C7" s="714"/>
      <c r="D7" s="446"/>
      <c r="E7" s="446"/>
    </row>
    <row r="8" spans="2:5" ht="12.75">
      <c r="B8" s="714" t="s">
        <v>494</v>
      </c>
      <c r="C8" s="714"/>
      <c r="D8" s="446"/>
      <c r="E8" s="446"/>
    </row>
    <row r="9" spans="2:11" ht="12.75">
      <c r="B9" s="714" t="s">
        <v>494</v>
      </c>
      <c r="C9" s="714"/>
      <c r="D9" s="445"/>
      <c r="E9" s="445"/>
      <c r="G9" s="730">
        <f>IF(AND(J10="",J12=""),"","Разлика между БАЛАНСА и ПРИЛОЖЕНИЕТО!")</f>
      </c>
      <c r="H9" s="730"/>
      <c r="I9" s="730"/>
      <c r="J9" s="730"/>
      <c r="K9" s="730"/>
    </row>
    <row r="10" spans="2:11" ht="12.75">
      <c r="B10" s="714" t="s">
        <v>494</v>
      </c>
      <c r="C10" s="714"/>
      <c r="D10" s="446"/>
      <c r="E10" s="446"/>
      <c r="G10" s="729">
        <f>IF(J10="","","Разлика текущ период:")</f>
      </c>
      <c r="H10" s="729"/>
      <c r="I10" s="729"/>
      <c r="J10" s="488">
        <f>IF(D13=баланс!E94,"",D13-баланс!E94)</f>
      </c>
      <c r="K10" s="489"/>
    </row>
    <row r="11" spans="2:11" ht="12.75">
      <c r="B11" s="714" t="s">
        <v>494</v>
      </c>
      <c r="C11" s="714"/>
      <c r="D11" s="446"/>
      <c r="E11" s="446"/>
      <c r="G11" s="728">
        <f>IF(J10="","","Сума по баланс:")</f>
      </c>
      <c r="H11" s="728"/>
      <c r="I11" s="728"/>
      <c r="J11" s="490">
        <f>IF(J10="","",баланс!E94)</f>
      </c>
      <c r="K11" s="489"/>
    </row>
    <row r="12" spans="2:11" ht="12.75">
      <c r="B12" s="714" t="s">
        <v>494</v>
      </c>
      <c r="C12" s="714"/>
      <c r="D12" s="446"/>
      <c r="E12" s="446"/>
      <c r="G12" s="729">
        <f>IF(J12="","","Разлика предходен период:")</f>
      </c>
      <c r="H12" s="729"/>
      <c r="I12" s="729"/>
      <c r="J12" s="488">
        <f>IF(E13=баланс!G94,"",E13-баланс!G94)</f>
      </c>
      <c r="K12" s="489"/>
    </row>
    <row r="13" spans="2:11" ht="12.75">
      <c r="B13" s="688" t="s">
        <v>231</v>
      </c>
      <c r="C13" s="688"/>
      <c r="D13" s="449">
        <f>SUM(D3:D12)</f>
        <v>0</v>
      </c>
      <c r="E13" s="449">
        <f>SUM(E3:E12)</f>
        <v>0</v>
      </c>
      <c r="G13" s="728">
        <f>IF(J12="","","Сума по баланс:")</f>
      </c>
      <c r="H13" s="728"/>
      <c r="I13" s="728"/>
      <c r="J13" s="490">
        <f>IF(J12="","",баланс!G94)</f>
      </c>
      <c r="K13" s="489"/>
    </row>
    <row r="37" ht="12.75">
      <c r="E37" s="491"/>
    </row>
  </sheetData>
  <mergeCells count="18">
    <mergeCell ref="B1:E1"/>
    <mergeCell ref="B2:C2"/>
    <mergeCell ref="B3:C3"/>
    <mergeCell ref="B4:C4"/>
    <mergeCell ref="B5:C5"/>
    <mergeCell ref="B6:C6"/>
    <mergeCell ref="B7:C7"/>
    <mergeCell ref="B8:C8"/>
    <mergeCell ref="B9:C9"/>
    <mergeCell ref="G9:K9"/>
    <mergeCell ref="B10:C10"/>
    <mergeCell ref="G10:I10"/>
    <mergeCell ref="B13:C13"/>
    <mergeCell ref="G13:I13"/>
    <mergeCell ref="B11:C11"/>
    <mergeCell ref="G11:I11"/>
    <mergeCell ref="B12:C12"/>
    <mergeCell ref="G12:I1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L49"/>
  <sheetViews>
    <sheetView workbookViewId="0" topLeftCell="A24">
      <selection activeCell="F22" sqref="F22"/>
    </sheetView>
  </sheetViews>
  <sheetFormatPr defaultColWidth="9.140625" defaultRowHeight="12.75"/>
  <cols>
    <col min="1" max="1" width="9.140625" style="1" customWidth="1"/>
    <col min="2" max="3" width="11.00390625" style="1" customWidth="1"/>
    <col min="4" max="4" width="16.00390625" style="1" customWidth="1"/>
    <col min="5" max="6" width="12.140625" style="1" customWidth="1"/>
    <col min="7" max="16384" width="9.140625" style="1" customWidth="1"/>
  </cols>
  <sheetData>
    <row r="1" spans="2:6" ht="14.25">
      <c r="B1" s="705" t="s">
        <v>497</v>
      </c>
      <c r="C1" s="705"/>
      <c r="D1" s="705"/>
      <c r="E1" s="705"/>
      <c r="F1" s="705"/>
    </row>
    <row r="2" spans="2:6" ht="12.75">
      <c r="B2" s="699" t="s">
        <v>498</v>
      </c>
      <c r="C2" s="699"/>
      <c r="D2" s="699"/>
      <c r="E2" s="410" t="str">
        <f>НАЧАЛО!AD1&amp;" г."</f>
        <v>30.9.2010 г.</v>
      </c>
      <c r="F2" s="410" t="str">
        <f>НАЧАЛО!AF1&amp;" г."</f>
        <v>30.9.2009 г.</v>
      </c>
    </row>
    <row r="3" spans="2:6" ht="12.75">
      <c r="B3" s="715" t="s">
        <v>499</v>
      </c>
      <c r="C3" s="715"/>
      <c r="D3" s="715"/>
      <c r="E3" s="445">
        <f>SUM(E4:E8)</f>
        <v>0</v>
      </c>
      <c r="F3" s="445">
        <f>SUM(F4:F8)</f>
        <v>0</v>
      </c>
    </row>
    <row r="4" spans="2:6" ht="12.75">
      <c r="B4" s="714" t="s">
        <v>500</v>
      </c>
      <c r="C4" s="714"/>
      <c r="D4" s="714"/>
      <c r="E4" s="446"/>
      <c r="F4" s="446">
        <v>0</v>
      </c>
    </row>
    <row r="5" spans="2:6" ht="12.75">
      <c r="B5" s="714" t="s">
        <v>501</v>
      </c>
      <c r="C5" s="714"/>
      <c r="D5" s="714"/>
      <c r="E5" s="446"/>
      <c r="F5" s="446"/>
    </row>
    <row r="6" spans="2:6" ht="12.75">
      <c r="B6" s="714" t="s">
        <v>502</v>
      </c>
      <c r="C6" s="714"/>
      <c r="D6" s="714"/>
      <c r="E6" s="446"/>
      <c r="F6" s="446"/>
    </row>
    <row r="7" spans="2:6" ht="12.75">
      <c r="B7" s="714" t="s">
        <v>502</v>
      </c>
      <c r="C7" s="714"/>
      <c r="D7" s="714"/>
      <c r="E7" s="446"/>
      <c r="F7" s="446"/>
    </row>
    <row r="8" spans="2:6" ht="12.75">
      <c r="B8" s="714" t="s">
        <v>502</v>
      </c>
      <c r="C8" s="714"/>
      <c r="D8" s="714"/>
      <c r="E8" s="446"/>
      <c r="F8" s="446"/>
    </row>
    <row r="9" spans="2:6" ht="12.75">
      <c r="B9" s="715" t="s">
        <v>503</v>
      </c>
      <c r="C9" s="715"/>
      <c r="D9" s="715"/>
      <c r="E9" s="445">
        <f>SUM(E10:E14)</f>
        <v>0</v>
      </c>
      <c r="F9" s="445">
        <f>SUM(F10:F14)</f>
        <v>0</v>
      </c>
    </row>
    <row r="10" spans="2:6" ht="12.75">
      <c r="B10" s="714" t="s">
        <v>504</v>
      </c>
      <c r="C10" s="714"/>
      <c r="D10" s="714"/>
      <c r="E10" s="446"/>
      <c r="F10" s="446">
        <v>0</v>
      </c>
    </row>
    <row r="11" spans="2:6" ht="12.75">
      <c r="B11" s="714" t="s">
        <v>502</v>
      </c>
      <c r="C11" s="714"/>
      <c r="D11" s="714"/>
      <c r="E11" s="446"/>
      <c r="F11" s="446"/>
    </row>
    <row r="12" spans="2:6" ht="12.75">
      <c r="B12" s="714" t="s">
        <v>502</v>
      </c>
      <c r="C12" s="714"/>
      <c r="D12" s="714"/>
      <c r="E12" s="446"/>
      <c r="F12" s="446"/>
    </row>
    <row r="13" spans="2:6" ht="12.75">
      <c r="B13" s="714" t="s">
        <v>502</v>
      </c>
      <c r="C13" s="714"/>
      <c r="D13" s="714"/>
      <c r="E13" s="446"/>
      <c r="F13" s="446"/>
    </row>
    <row r="14" spans="2:6" ht="12.75">
      <c r="B14" s="714" t="s">
        <v>502</v>
      </c>
      <c r="C14" s="714"/>
      <c r="D14" s="714"/>
      <c r="E14" s="446"/>
      <c r="F14" s="446"/>
    </row>
    <row r="15" spans="2:6" ht="12.75">
      <c r="B15" s="715" t="s">
        <v>505</v>
      </c>
      <c r="C15" s="715"/>
      <c r="D15" s="715"/>
      <c r="E15" s="445">
        <f>SUM(E16:E20)</f>
        <v>579</v>
      </c>
      <c r="F15" s="445">
        <f>SUM(F16:F20)</f>
        <v>338</v>
      </c>
    </row>
    <row r="16" spans="2:6" ht="12.75">
      <c r="B16" s="714" t="s">
        <v>506</v>
      </c>
      <c r="C16" s="714"/>
      <c r="D16" s="714"/>
      <c r="E16" s="446"/>
      <c r="F16" s="446"/>
    </row>
    <row r="17" spans="2:6" ht="12.75">
      <c r="B17" s="714" t="s">
        <v>507</v>
      </c>
      <c r="C17" s="714"/>
      <c r="D17" s="714"/>
      <c r="E17" s="446">
        <v>579</v>
      </c>
      <c r="F17" s="446">
        <v>338</v>
      </c>
    </row>
    <row r="18" spans="2:6" ht="12.75">
      <c r="B18" s="714" t="s">
        <v>502</v>
      </c>
      <c r="C18" s="714"/>
      <c r="D18" s="714"/>
      <c r="E18" s="446"/>
      <c r="F18" s="446"/>
    </row>
    <row r="19" spans="2:6" ht="12.75">
      <c r="B19" s="714" t="s">
        <v>502</v>
      </c>
      <c r="C19" s="714"/>
      <c r="D19" s="714"/>
      <c r="E19" s="446"/>
      <c r="F19" s="446"/>
    </row>
    <row r="20" spans="2:6" ht="12.75">
      <c r="B20" s="714" t="s">
        <v>502</v>
      </c>
      <c r="C20" s="714"/>
      <c r="D20" s="714"/>
      <c r="E20" s="446"/>
      <c r="F20" s="446"/>
    </row>
    <row r="21" spans="2:6" ht="12.75">
      <c r="B21" s="715" t="s">
        <v>508</v>
      </c>
      <c r="C21" s="715"/>
      <c r="D21" s="715"/>
      <c r="E21" s="445">
        <v>10694</v>
      </c>
      <c r="F21" s="445">
        <v>8954</v>
      </c>
    </row>
    <row r="22" spans="2:6" ht="12.75">
      <c r="B22" s="714" t="s">
        <v>509</v>
      </c>
      <c r="C22" s="714"/>
      <c r="D22" s="714"/>
      <c r="E22" s="446">
        <v>715</v>
      </c>
      <c r="F22" s="446">
        <v>233</v>
      </c>
    </row>
    <row r="23" spans="2:12" ht="12.75">
      <c r="B23" s="715" t="s">
        <v>510</v>
      </c>
      <c r="C23" s="715"/>
      <c r="D23" s="715"/>
      <c r="E23" s="446"/>
      <c r="F23" s="446"/>
      <c r="H23" s="681" t="str">
        <f>IF(AND(K24="",K26=""),"","Разлика между ОПР и ПРИЛОЖЕНИЕТО!")</f>
        <v>Разлика между ОПР и ПРИЛОЖЕНИЕТО!</v>
      </c>
      <c r="I23" s="681"/>
      <c r="J23" s="681"/>
      <c r="K23" s="681"/>
      <c r="L23" s="681"/>
    </row>
    <row r="24" spans="2:12" ht="12.75">
      <c r="B24" s="714" t="s">
        <v>511</v>
      </c>
      <c r="C24" s="714"/>
      <c r="D24" s="714"/>
      <c r="E24" s="446"/>
      <c r="F24" s="446"/>
      <c r="H24" s="680" t="str">
        <f>IF(K24="","","Разлика текущ период:")</f>
        <v>Разлика текущ период:</v>
      </c>
      <c r="I24" s="680"/>
      <c r="J24" s="680"/>
      <c r="K24" s="405">
        <f>IF(E28=ОПР!E10,"",E28-ОПР!E10)</f>
        <v>6210</v>
      </c>
      <c r="L24" s="406"/>
    </row>
    <row r="25" spans="2:12" ht="12.75">
      <c r="B25" s="714" t="s">
        <v>502</v>
      </c>
      <c r="C25" s="714"/>
      <c r="D25" s="714"/>
      <c r="E25" s="446"/>
      <c r="F25" s="446"/>
      <c r="H25" s="678" t="str">
        <f>IF(K24="","","Приходи от продажби по ОПР:")</f>
        <v>Приходи от продажби по ОПР:</v>
      </c>
      <c r="I25" s="678"/>
      <c r="J25" s="678"/>
      <c r="K25" s="407">
        <f>IF(K24="","",ОПР!E10)</f>
        <v>5063</v>
      </c>
      <c r="L25" s="406"/>
    </row>
    <row r="26" spans="2:12" ht="12.75">
      <c r="B26" s="714" t="s">
        <v>502</v>
      </c>
      <c r="C26" s="714"/>
      <c r="D26" s="714"/>
      <c r="E26" s="446"/>
      <c r="F26" s="446"/>
      <c r="H26" s="680" t="str">
        <f>IF(K26="","","Разлика предходен период:")</f>
        <v>Разлика предходен период:</v>
      </c>
      <c r="I26" s="680"/>
      <c r="J26" s="680"/>
      <c r="K26" s="405">
        <f>IF(F28=ОПР!G10,"",F28-ОПР!G10)</f>
        <v>5264</v>
      </c>
      <c r="L26" s="406"/>
    </row>
    <row r="27" spans="2:12" ht="12.75">
      <c r="B27" s="714" t="s">
        <v>502</v>
      </c>
      <c r="C27" s="714"/>
      <c r="D27" s="714"/>
      <c r="E27" s="446"/>
      <c r="F27" s="446"/>
      <c r="H27" s="678" t="str">
        <f>IF(K26="","","Приходи от продажби по ОПР:")</f>
        <v>Приходи от продажби по ОПР:</v>
      </c>
      <c r="I27" s="678"/>
      <c r="J27" s="678"/>
      <c r="K27" s="407">
        <f>IF(K26="","",ОПР!G10)</f>
        <v>4028</v>
      </c>
      <c r="L27" s="406"/>
    </row>
    <row r="28" spans="2:12" ht="12.75">
      <c r="B28" s="714" t="s">
        <v>502</v>
      </c>
      <c r="C28" s="714"/>
      <c r="D28" s="714"/>
      <c r="E28" s="449">
        <f>E3+E9+E15+E21+E23</f>
        <v>11273</v>
      </c>
      <c r="F28" s="449">
        <f>F3+F9+F15+F21+F23</f>
        <v>9292</v>
      </c>
      <c r="H28" s="492"/>
      <c r="I28" s="492"/>
      <c r="J28" s="492"/>
      <c r="K28" s="493"/>
      <c r="L28" s="8"/>
    </row>
    <row r="29" spans="2:12" ht="14.25">
      <c r="B29" s="714" t="s">
        <v>512</v>
      </c>
      <c r="C29" s="714"/>
      <c r="D29" s="714"/>
      <c r="E29" s="494"/>
      <c r="F29" s="494"/>
      <c r="H29" s="681">
        <f>IF(AND(K30="",K32=""),"","Разлика между ОПР и ПРИЛОЖЕНИЕТО!")</f>
      </c>
      <c r="I29" s="681"/>
      <c r="J29" s="681"/>
      <c r="K29" s="681"/>
      <c r="L29" s="681"/>
    </row>
    <row r="30" spans="2:12" ht="12.75">
      <c r="B30" s="714" t="s">
        <v>513</v>
      </c>
      <c r="C30" s="714"/>
      <c r="D30" s="714"/>
      <c r="E30" s="411" t="str">
        <f>E2</f>
        <v>30.9.2010 г.</v>
      </c>
      <c r="F30" s="411" t="str">
        <f>F2</f>
        <v>30.9.2009 г.</v>
      </c>
      <c r="H30" s="680">
        <f>IF(K30="","","Разлика текущ период:")</f>
      </c>
      <c r="I30" s="680"/>
      <c r="J30" s="680"/>
      <c r="K30" s="405">
        <f>IF(E33='[1]ОПР'!E14,"",E33-'[1]ОПР'!E14)</f>
      </c>
      <c r="L30" s="406"/>
    </row>
    <row r="31" spans="2:12" ht="12.75">
      <c r="B31" s="688" t="s">
        <v>231</v>
      </c>
      <c r="C31" s="688"/>
      <c r="D31" s="688"/>
      <c r="E31" s="446"/>
      <c r="F31" s="446"/>
      <c r="H31" s="678">
        <f>IF(K30="","","Приходи от дарения по ОПР:")</f>
      </c>
      <c r="I31" s="678"/>
      <c r="J31" s="678"/>
      <c r="K31" s="407">
        <f>IF(K30="","",'[1]ОПР'!E14)</f>
      </c>
      <c r="L31" s="406"/>
    </row>
    <row r="32" spans="2:12" ht="14.25">
      <c r="B32" s="731" t="s">
        <v>63</v>
      </c>
      <c r="C32" s="731"/>
      <c r="D32" s="731"/>
      <c r="E32" s="446"/>
      <c r="F32" s="446"/>
      <c r="H32" s="680">
        <f>IF(K32="","","Разлика предходен период:")</f>
      </c>
      <c r="I32" s="680"/>
      <c r="J32" s="680"/>
      <c r="K32" s="405">
        <f>IF(F33='[1]ОПР'!G14,"",F33-'[1]ОПР'!G14)</f>
      </c>
      <c r="L32" s="406"/>
    </row>
    <row r="33" spans="2:12" ht="12.75">
      <c r="B33" s="699" t="s">
        <v>498</v>
      </c>
      <c r="C33" s="699"/>
      <c r="D33" s="699"/>
      <c r="E33" s="449">
        <f>SUM(E31:E32)</f>
        <v>0</v>
      </c>
      <c r="F33" s="449">
        <f>SUM(F31:F32)</f>
        <v>0</v>
      </c>
      <c r="H33" s="678">
        <f>IF(K32="","","Приходи от дарения по ОПР:")</f>
      </c>
      <c r="I33" s="678"/>
      <c r="J33" s="678"/>
      <c r="K33" s="407">
        <f>IF(K32="","",'[1]ОПР'!G14)</f>
      </c>
      <c r="L33" s="406"/>
    </row>
    <row r="34" spans="2:6" ht="14.25">
      <c r="B34" s="714" t="s">
        <v>468</v>
      </c>
      <c r="C34" s="714"/>
      <c r="D34" s="714"/>
      <c r="E34" s="494"/>
      <c r="F34" s="494"/>
    </row>
    <row r="35" spans="2:6" ht="12.75">
      <c r="B35" s="714" t="s">
        <v>469</v>
      </c>
      <c r="C35" s="714"/>
      <c r="D35" s="714"/>
      <c r="E35" s="411" t="str">
        <f>E2</f>
        <v>30.9.2010 г.</v>
      </c>
      <c r="F35" s="411" t="str">
        <f>F2</f>
        <v>30.9.2009 г.</v>
      </c>
    </row>
    <row r="36" spans="2:6" ht="12.75">
      <c r="B36" s="688" t="s">
        <v>231</v>
      </c>
      <c r="C36" s="688"/>
      <c r="D36" s="688"/>
      <c r="E36" s="411"/>
      <c r="F36" s="411"/>
    </row>
    <row r="37" spans="2:6" ht="14.25">
      <c r="B37" s="731" t="s">
        <v>65</v>
      </c>
      <c r="C37" s="731"/>
      <c r="D37" s="731"/>
      <c r="E37" s="445">
        <f>SUM(E38:E42)</f>
        <v>122</v>
      </c>
      <c r="F37" s="445">
        <f>SUM(F38:F42)</f>
        <v>135</v>
      </c>
    </row>
    <row r="38" spans="2:6" ht="12.75">
      <c r="B38" s="699" t="s">
        <v>498</v>
      </c>
      <c r="C38" s="699"/>
      <c r="D38" s="699"/>
      <c r="E38" s="446"/>
      <c r="F38" s="446">
        <v>0</v>
      </c>
    </row>
    <row r="39" spans="2:6" ht="12.75">
      <c r="B39" s="715" t="s">
        <v>514</v>
      </c>
      <c r="C39" s="715"/>
      <c r="D39" s="715"/>
      <c r="E39" s="446"/>
      <c r="F39" s="446"/>
    </row>
    <row r="40" spans="2:6" ht="12.75">
      <c r="B40" s="715" t="s">
        <v>515</v>
      </c>
      <c r="C40" s="715"/>
      <c r="D40" s="715"/>
      <c r="E40" s="446">
        <v>122</v>
      </c>
      <c r="F40" s="446">
        <v>135</v>
      </c>
    </row>
    <row r="41" spans="2:6" ht="12.75">
      <c r="B41" s="714" t="s">
        <v>516</v>
      </c>
      <c r="C41" s="714"/>
      <c r="D41" s="714"/>
      <c r="E41" s="446"/>
      <c r="F41" s="446"/>
    </row>
    <row r="42" spans="2:12" ht="12.75">
      <c r="B42" s="714" t="s">
        <v>517</v>
      </c>
      <c r="C42" s="714"/>
      <c r="D42" s="714"/>
      <c r="E42" s="446"/>
      <c r="F42" s="446"/>
      <c r="H42" s="681" t="str">
        <f>IF(AND(K43="",K45=""),"","Разлика между ОПР и ПРИЛОЖЕНИЕТО!")</f>
        <v>Разлика между ОПР и ПРИЛОЖЕНИЕТО!</v>
      </c>
      <c r="I42" s="681"/>
      <c r="J42" s="681"/>
      <c r="K42" s="681"/>
      <c r="L42" s="681"/>
    </row>
    <row r="43" spans="2:12" ht="12.75">
      <c r="B43" s="714" t="s">
        <v>518</v>
      </c>
      <c r="C43" s="714"/>
      <c r="D43" s="714"/>
      <c r="E43" s="445"/>
      <c r="F43" s="445"/>
      <c r="H43" s="680" t="str">
        <f>IF(K43="","","Разлика текущ период:")</f>
        <v>Разлика текущ период:</v>
      </c>
      <c r="I43" s="680"/>
      <c r="J43" s="680"/>
      <c r="K43" s="405">
        <f>IF(E46=ОПР!E16,"",E46-ОПР!E16)</f>
        <v>76</v>
      </c>
      <c r="L43" s="406"/>
    </row>
    <row r="44" spans="2:12" ht="12.75">
      <c r="B44" s="714" t="s">
        <v>519</v>
      </c>
      <c r="C44" s="714"/>
      <c r="D44" s="714"/>
      <c r="E44" s="445"/>
      <c r="F44" s="445"/>
      <c r="H44" s="678" t="str">
        <f>IF(K43="","","Финансови приходи по ОПР:")</f>
        <v>Финансови приходи по ОПР:</v>
      </c>
      <c r="I44" s="678"/>
      <c r="J44" s="678"/>
      <c r="K44" s="407">
        <f>IF(K43="","",ОПР!E16)</f>
        <v>46</v>
      </c>
      <c r="L44" s="406"/>
    </row>
    <row r="45" spans="2:12" ht="12.75">
      <c r="B45" s="714" t="s">
        <v>520</v>
      </c>
      <c r="C45" s="714"/>
      <c r="D45" s="714"/>
      <c r="E45" s="445"/>
      <c r="F45" s="445"/>
      <c r="H45" s="680" t="str">
        <f>IF(K45="","","Разлика предходен период:")</f>
        <v>Разлика предходен период:</v>
      </c>
      <c r="I45" s="680"/>
      <c r="J45" s="680"/>
      <c r="K45" s="405">
        <f>IF(F46=ОПР!G16,"",F46-ОПР!G16)</f>
        <v>135</v>
      </c>
      <c r="L45" s="406"/>
    </row>
    <row r="46" spans="2:12" ht="12.75">
      <c r="B46" s="715" t="s">
        <v>521</v>
      </c>
      <c r="C46" s="715"/>
      <c r="D46" s="715"/>
      <c r="E46" s="449">
        <f>SUM(E36:E45)-E37</f>
        <v>122</v>
      </c>
      <c r="F46" s="449">
        <f>SUM(F36:F45)-F37</f>
        <v>135</v>
      </c>
      <c r="H46" s="678" t="str">
        <f>IF(K45="","","Финансови приходи по ОПР:")</f>
        <v>Финансови приходи по ОПР:</v>
      </c>
      <c r="I46" s="678"/>
      <c r="J46" s="678"/>
      <c r="K46" s="407">
        <f>IF(K45="","",ОПР!G16)</f>
        <v>0</v>
      </c>
      <c r="L46" s="406"/>
    </row>
    <row r="47" spans="2:4" ht="12.75">
      <c r="B47" s="715" t="s">
        <v>522</v>
      </c>
      <c r="C47" s="715"/>
      <c r="D47" s="715"/>
    </row>
    <row r="48" spans="2:4" ht="12.75">
      <c r="B48" s="715" t="s">
        <v>523</v>
      </c>
      <c r="C48" s="715"/>
      <c r="D48" s="715"/>
    </row>
    <row r="49" spans="2:4" ht="12.75">
      <c r="B49" s="688" t="s">
        <v>231</v>
      </c>
      <c r="C49" s="688"/>
      <c r="D49" s="688"/>
    </row>
  </sheetData>
  <mergeCells count="64">
    <mergeCell ref="B1:F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H23:L23"/>
    <mergeCell ref="B24:D24"/>
    <mergeCell ref="H24:J24"/>
    <mergeCell ref="B25:D25"/>
    <mergeCell ref="H25:J25"/>
    <mergeCell ref="B26:D26"/>
    <mergeCell ref="H26:J26"/>
    <mergeCell ref="B27:D27"/>
    <mergeCell ref="H27:J27"/>
    <mergeCell ref="B28:D28"/>
    <mergeCell ref="B29:D29"/>
    <mergeCell ref="H29:L29"/>
    <mergeCell ref="B30:D30"/>
    <mergeCell ref="H30:J30"/>
    <mergeCell ref="B31:D31"/>
    <mergeCell ref="H31:J31"/>
    <mergeCell ref="B32:D32"/>
    <mergeCell ref="H32:J32"/>
    <mergeCell ref="B33:D33"/>
    <mergeCell ref="H33:J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H42:L42"/>
    <mergeCell ref="H45:J45"/>
    <mergeCell ref="B46:D46"/>
    <mergeCell ref="H46:J46"/>
    <mergeCell ref="B43:D43"/>
    <mergeCell ref="H43:J43"/>
    <mergeCell ref="B44:D44"/>
    <mergeCell ref="H44:J44"/>
    <mergeCell ref="B47:D47"/>
    <mergeCell ref="B48:D48"/>
    <mergeCell ref="B49:D49"/>
    <mergeCell ref="B45:D45"/>
  </mergeCells>
  <printOptions/>
  <pageMargins left="0.7000000000000001" right="0.7000000000000001" top="0.75" bottom="0.75" header="0.5118055555555556" footer="0.5118055555555556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N120"/>
  <sheetViews>
    <sheetView workbookViewId="0" topLeftCell="A91">
      <selection activeCell="E120" sqref="E120"/>
    </sheetView>
  </sheetViews>
  <sheetFormatPr defaultColWidth="9.140625" defaultRowHeight="12.75"/>
  <cols>
    <col min="1" max="1" width="9.140625" style="1" customWidth="1"/>
    <col min="2" max="4" width="13.140625" style="1" customWidth="1"/>
    <col min="5" max="6" width="12.140625" style="1" customWidth="1"/>
    <col min="7" max="16384" width="9.140625" style="1" customWidth="1"/>
  </cols>
  <sheetData>
    <row r="1" spans="2:6" ht="14.25">
      <c r="B1" s="705" t="s">
        <v>524</v>
      </c>
      <c r="C1" s="705"/>
      <c r="D1" s="705"/>
      <c r="E1" s="705"/>
      <c r="F1" s="705"/>
    </row>
    <row r="2" spans="2:6" ht="12.75">
      <c r="B2" s="732" t="s">
        <v>525</v>
      </c>
      <c r="C2" s="732"/>
      <c r="D2" s="732"/>
      <c r="E2" s="410" t="str">
        <f>НАЧАЛО!AD1&amp;" г."</f>
        <v>30.9.2010 г.</v>
      </c>
      <c r="F2" s="410" t="str">
        <f>НАЧАЛО!AF1&amp;" г."</f>
        <v>30.9.2009 г.</v>
      </c>
    </row>
    <row r="3" spans="2:6" ht="12.75">
      <c r="B3" s="726" t="s">
        <v>526</v>
      </c>
      <c r="C3" s="726"/>
      <c r="D3" s="726"/>
      <c r="E3" s="486">
        <v>1517</v>
      </c>
      <c r="F3" s="486">
        <v>1154</v>
      </c>
    </row>
    <row r="4" spans="2:6" ht="12.75">
      <c r="B4" s="726" t="s">
        <v>378</v>
      </c>
      <c r="C4" s="726"/>
      <c r="D4" s="726"/>
      <c r="E4" s="486"/>
      <c r="F4" s="486"/>
    </row>
    <row r="5" spans="2:6" ht="12.75">
      <c r="B5" s="726" t="s">
        <v>527</v>
      </c>
      <c r="C5" s="726"/>
      <c r="D5" s="726"/>
      <c r="E5" s="486">
        <v>359</v>
      </c>
      <c r="F5" s="486">
        <v>779</v>
      </c>
    </row>
    <row r="6" spans="2:6" ht="12.75">
      <c r="B6" s="726" t="s">
        <v>528</v>
      </c>
      <c r="C6" s="726"/>
      <c r="D6" s="726"/>
      <c r="E6" s="486">
        <v>52</v>
      </c>
      <c r="F6" s="486">
        <v>74</v>
      </c>
    </row>
    <row r="7" spans="2:6" ht="12.75">
      <c r="B7" s="726" t="s">
        <v>529</v>
      </c>
      <c r="C7" s="726"/>
      <c r="D7" s="726"/>
      <c r="E7" s="486"/>
      <c r="F7" s="486"/>
    </row>
    <row r="8" spans="2:6" ht="12.75">
      <c r="B8" s="726" t="s">
        <v>530</v>
      </c>
      <c r="C8" s="726"/>
      <c r="D8" s="726"/>
      <c r="E8" s="486"/>
      <c r="F8" s="486"/>
    </row>
    <row r="9" spans="2:6" ht="12.75">
      <c r="B9" s="726" t="s">
        <v>531</v>
      </c>
      <c r="C9" s="726"/>
      <c r="D9" s="726"/>
      <c r="E9" s="486"/>
      <c r="F9" s="486"/>
    </row>
    <row r="10" spans="2:6" ht="12.75">
      <c r="B10" s="726" t="s">
        <v>532</v>
      </c>
      <c r="C10" s="726"/>
      <c r="D10" s="726"/>
      <c r="E10" s="486"/>
      <c r="F10" s="486"/>
    </row>
    <row r="11" spans="2:6" ht="12.75">
      <c r="B11" s="726" t="s">
        <v>533</v>
      </c>
      <c r="C11" s="726"/>
      <c r="D11" s="726"/>
      <c r="E11" s="486"/>
      <c r="F11" s="486"/>
    </row>
    <row r="12" spans="2:6" ht="12.75">
      <c r="B12" s="726" t="s">
        <v>381</v>
      </c>
      <c r="C12" s="726"/>
      <c r="D12" s="726"/>
      <c r="E12" s="486">
        <v>59</v>
      </c>
      <c r="F12" s="486">
        <v>174</v>
      </c>
    </row>
    <row r="13" spans="2:6" ht="12.75">
      <c r="B13" s="726" t="s">
        <v>534</v>
      </c>
      <c r="C13" s="726"/>
      <c r="D13" s="726"/>
      <c r="E13" s="486"/>
      <c r="F13" s="486"/>
    </row>
    <row r="14" spans="2:6" ht="12.75">
      <c r="B14" s="726" t="s">
        <v>535</v>
      </c>
      <c r="C14" s="726"/>
      <c r="D14" s="726"/>
      <c r="E14" s="486"/>
      <c r="F14" s="486"/>
    </row>
    <row r="15" spans="2:12" ht="12.75">
      <c r="B15" s="726" t="s">
        <v>536</v>
      </c>
      <c r="C15" s="726"/>
      <c r="D15" s="726"/>
      <c r="E15" s="486"/>
      <c r="F15" s="486"/>
      <c r="H15" s="681" t="str">
        <f>IF(AND(K16="",K18=""),"","Разлика между ОПР и ПРИЛОЖЕНИЕТО!")</f>
        <v>Разлика между ОПР и ПРИЛОЖЕНИЕТО!</v>
      </c>
      <c r="I15" s="681"/>
      <c r="J15" s="681"/>
      <c r="K15" s="681"/>
      <c r="L15" s="681"/>
    </row>
    <row r="16" spans="2:12" ht="12.75">
      <c r="B16" s="726" t="s">
        <v>536</v>
      </c>
      <c r="C16" s="726"/>
      <c r="D16" s="726"/>
      <c r="E16" s="486"/>
      <c r="F16" s="486"/>
      <c r="H16" s="680" t="str">
        <f>IF(K16="","","Разлика текущ период:")</f>
        <v>Разлика текущ период:</v>
      </c>
      <c r="I16" s="680"/>
      <c r="J16" s="680"/>
      <c r="K16" s="405">
        <f>IF(E19=ABS(ОПР!E22),"",E19-ABS(ОПР!E22))</f>
        <v>-1681</v>
      </c>
      <c r="L16" s="406"/>
    </row>
    <row r="17" spans="2:12" ht="12.75">
      <c r="B17" s="726" t="s">
        <v>536</v>
      </c>
      <c r="C17" s="726"/>
      <c r="D17" s="726"/>
      <c r="E17" s="486"/>
      <c r="F17" s="486"/>
      <c r="H17" s="678" t="str">
        <f>IF(K16="","","Разходи за материали по ОПР:")</f>
        <v>Разходи за материали по ОПР:</v>
      </c>
      <c r="I17" s="678"/>
      <c r="J17" s="678"/>
      <c r="K17" s="407">
        <f>IF(K16="","",ОПР!E22*-1)</f>
        <v>3668</v>
      </c>
      <c r="L17" s="406"/>
    </row>
    <row r="18" spans="2:12" ht="12.75">
      <c r="B18" s="726" t="s">
        <v>536</v>
      </c>
      <c r="C18" s="726"/>
      <c r="D18" s="726"/>
      <c r="E18" s="486"/>
      <c r="F18" s="486"/>
      <c r="H18" s="680" t="str">
        <f>IF(K18="","","Разлика предходен период:")</f>
        <v>Разлика предходен период:</v>
      </c>
      <c r="I18" s="680"/>
      <c r="J18" s="680"/>
      <c r="K18" s="405">
        <f>IF(F19=ABS(ОПР!G22),"",F19-ABS(ОПР!G22))</f>
        <v>1107</v>
      </c>
      <c r="L18" s="406"/>
    </row>
    <row r="19" spans="2:12" ht="12.75">
      <c r="B19" s="733" t="s">
        <v>231</v>
      </c>
      <c r="C19" s="733"/>
      <c r="D19" s="733"/>
      <c r="E19" s="495">
        <f>SUM(E3:E18)</f>
        <v>1987</v>
      </c>
      <c r="F19" s="495">
        <f>SUM(F3:F18)</f>
        <v>2181</v>
      </c>
      <c r="H19" s="678" t="str">
        <f>IF(K18="","","Разходи за материали по ОПР:")</f>
        <v>Разходи за материали по ОПР:</v>
      </c>
      <c r="I19" s="678"/>
      <c r="J19" s="678"/>
      <c r="K19" s="407">
        <f>IF(K18="","",ABS(ОПР!G22))</f>
        <v>1074</v>
      </c>
      <c r="L19" s="406"/>
    </row>
    <row r="20" spans="2:6" ht="14.25">
      <c r="B20" s="705" t="s">
        <v>72</v>
      </c>
      <c r="C20" s="705"/>
      <c r="D20" s="705"/>
      <c r="E20" s="705"/>
      <c r="F20" s="705"/>
    </row>
    <row r="21" spans="2:9" ht="12.75">
      <c r="B21" s="732" t="s">
        <v>525</v>
      </c>
      <c r="C21" s="732"/>
      <c r="D21" s="732"/>
      <c r="E21" s="496" t="str">
        <f>E$2</f>
        <v>30.9.2010 г.</v>
      </c>
      <c r="F21" s="496" t="str">
        <f>F$2</f>
        <v>30.9.2009 г.</v>
      </c>
      <c r="I21" s="413"/>
    </row>
    <row r="22" spans="2:9" ht="12.75">
      <c r="B22" s="726" t="s">
        <v>537</v>
      </c>
      <c r="C22" s="726"/>
      <c r="D22" s="726"/>
      <c r="E22" s="486">
        <v>5148</v>
      </c>
      <c r="F22" s="486">
        <v>3152</v>
      </c>
      <c r="I22" s="413"/>
    </row>
    <row r="23" spans="2:9" ht="12.75">
      <c r="B23" s="726" t="s">
        <v>538</v>
      </c>
      <c r="C23" s="726"/>
      <c r="D23" s="726"/>
      <c r="E23" s="486">
        <v>19</v>
      </c>
      <c r="F23" s="486">
        <v>8</v>
      </c>
      <c r="I23" s="413"/>
    </row>
    <row r="24" spans="2:9" ht="12.75">
      <c r="B24" s="726" t="s">
        <v>539</v>
      </c>
      <c r="C24" s="726"/>
      <c r="D24" s="726"/>
      <c r="E24" s="486">
        <v>21</v>
      </c>
      <c r="F24" s="486">
        <v>4</v>
      </c>
      <c r="I24" s="413"/>
    </row>
    <row r="25" spans="2:9" ht="12.75">
      <c r="B25" s="726" t="s">
        <v>540</v>
      </c>
      <c r="C25" s="726"/>
      <c r="D25" s="726"/>
      <c r="E25" s="486">
        <v>12</v>
      </c>
      <c r="F25" s="486">
        <v>1</v>
      </c>
      <c r="I25" s="413"/>
    </row>
    <row r="26" spans="2:9" ht="12.75">
      <c r="B26" s="726" t="s">
        <v>541</v>
      </c>
      <c r="C26" s="726"/>
      <c r="D26" s="726"/>
      <c r="E26" s="486">
        <v>49</v>
      </c>
      <c r="F26" s="486">
        <v>69</v>
      </c>
      <c r="I26" s="413"/>
    </row>
    <row r="27" spans="2:9" ht="12.75">
      <c r="B27" s="726" t="s">
        <v>542</v>
      </c>
      <c r="C27" s="726"/>
      <c r="D27" s="726"/>
      <c r="E27" s="486"/>
      <c r="F27" s="486">
        <v>11</v>
      </c>
      <c r="I27" s="413"/>
    </row>
    <row r="28" spans="2:9" ht="12.75">
      <c r="B28" s="726" t="s">
        <v>543</v>
      </c>
      <c r="C28" s="726"/>
      <c r="D28" s="726"/>
      <c r="E28" s="486">
        <v>5</v>
      </c>
      <c r="F28" s="486">
        <v>2</v>
      </c>
      <c r="I28" s="413"/>
    </row>
    <row r="29" spans="2:9" ht="12.75">
      <c r="B29" s="726" t="s">
        <v>544</v>
      </c>
      <c r="C29" s="726"/>
      <c r="D29" s="726"/>
      <c r="E29" s="486">
        <v>52</v>
      </c>
      <c r="F29" s="486">
        <v>42</v>
      </c>
      <c r="I29" s="413"/>
    </row>
    <row r="30" spans="2:9" ht="12.75">
      <c r="B30" s="726" t="s">
        <v>545</v>
      </c>
      <c r="C30" s="726"/>
      <c r="D30" s="726"/>
      <c r="E30" s="486"/>
      <c r="F30" s="486"/>
      <c r="I30" s="413"/>
    </row>
    <row r="31" spans="2:9" ht="12.75">
      <c r="B31" s="726" t="s">
        <v>546</v>
      </c>
      <c r="C31" s="726"/>
      <c r="D31" s="726"/>
      <c r="E31" s="486">
        <v>52</v>
      </c>
      <c r="F31" s="486">
        <v>10</v>
      </c>
      <c r="I31" s="413"/>
    </row>
    <row r="32" spans="2:9" ht="12.75">
      <c r="B32" s="726" t="s">
        <v>547</v>
      </c>
      <c r="C32" s="726"/>
      <c r="D32" s="726"/>
      <c r="E32" s="486">
        <v>10</v>
      </c>
      <c r="F32" s="486">
        <v>20</v>
      </c>
      <c r="I32" s="413"/>
    </row>
    <row r="33" spans="2:9" ht="12.75">
      <c r="B33" s="726" t="s">
        <v>548</v>
      </c>
      <c r="C33" s="726"/>
      <c r="D33" s="726"/>
      <c r="E33" s="486">
        <v>1196</v>
      </c>
      <c r="F33" s="486">
        <v>559</v>
      </c>
      <c r="I33" s="413"/>
    </row>
    <row r="34" spans="2:9" ht="12.75">
      <c r="B34" s="726" t="s">
        <v>549</v>
      </c>
      <c r="C34" s="726"/>
      <c r="D34" s="726"/>
      <c r="E34" s="486">
        <v>23</v>
      </c>
      <c r="F34" s="486"/>
      <c r="I34" s="413"/>
    </row>
    <row r="35" spans="2:12" ht="12.75">
      <c r="B35" s="726" t="s">
        <v>550</v>
      </c>
      <c r="C35" s="726"/>
      <c r="D35" s="726"/>
      <c r="E35" s="486"/>
      <c r="F35" s="486"/>
      <c r="H35" s="681" t="str">
        <f>IF(AND(K36="",K38=""),"","Разлика между ОПР и ПРИЛОЖЕНИЕТО!")</f>
        <v>Разлика между ОПР и ПРИЛОЖЕНИЕТО!</v>
      </c>
      <c r="I35" s="681"/>
      <c r="J35" s="681"/>
      <c r="K35" s="681"/>
      <c r="L35" s="681"/>
    </row>
    <row r="36" spans="2:12" ht="12.75">
      <c r="B36" s="726" t="s">
        <v>551</v>
      </c>
      <c r="C36" s="726"/>
      <c r="D36" s="726"/>
      <c r="E36" s="486">
        <v>6</v>
      </c>
      <c r="F36" s="486"/>
      <c r="H36" s="680" t="str">
        <f>IF(K36="","","Разлика текущ период:")</f>
        <v>Разлика текущ период:</v>
      </c>
      <c r="I36" s="680"/>
      <c r="J36" s="680"/>
      <c r="K36" s="405">
        <f>IF(E39=ABS(ОПР!E23),"",E39-ABS(ОПР!E23))</f>
        <v>4383</v>
      </c>
      <c r="L36" s="406"/>
    </row>
    <row r="37" spans="2:12" ht="12.75">
      <c r="B37" s="726" t="s">
        <v>536</v>
      </c>
      <c r="C37" s="726"/>
      <c r="D37" s="726"/>
      <c r="E37" s="486"/>
      <c r="F37" s="486"/>
      <c r="H37" s="678" t="str">
        <f>IF(K36="","","Разходи за услуги по ОПР:")</f>
        <v>Разходи за услуги по ОПР:</v>
      </c>
      <c r="I37" s="678"/>
      <c r="J37" s="678"/>
      <c r="K37" s="407">
        <f>IF(K36="","",ABS(ОПР!E23))</f>
        <v>2210</v>
      </c>
      <c r="L37" s="406"/>
    </row>
    <row r="38" spans="2:12" ht="12.75">
      <c r="B38" s="726" t="s">
        <v>536</v>
      </c>
      <c r="C38" s="726"/>
      <c r="D38" s="726"/>
      <c r="E38" s="486"/>
      <c r="F38" s="486"/>
      <c r="H38" s="680" t="str">
        <f>IF(K38="","","Разлика предходен период:")</f>
        <v>Разлика предходен период:</v>
      </c>
      <c r="I38" s="680"/>
      <c r="J38" s="680"/>
      <c r="K38" s="405">
        <f>IF(F39=ABS(ОПР!G23),"",F39-ABS(ОПР!G23))</f>
        <v>1993</v>
      </c>
      <c r="L38" s="406"/>
    </row>
    <row r="39" spans="2:12" ht="12.75">
      <c r="B39" s="733" t="s">
        <v>231</v>
      </c>
      <c r="C39" s="733"/>
      <c r="D39" s="733"/>
      <c r="E39" s="495">
        <f>SUM(E22:E38)</f>
        <v>6593</v>
      </c>
      <c r="F39" s="495">
        <f>SUM(F22:F38)</f>
        <v>3878</v>
      </c>
      <c r="H39" s="678" t="str">
        <f>IF(K38="","","Разходи за услуги по ОПР:")</f>
        <v>Разходи за услуги по ОПР:</v>
      </c>
      <c r="I39" s="678"/>
      <c r="J39" s="678"/>
      <c r="K39" s="407">
        <f>IF(K38="","",ABS(ОПР!G23))</f>
        <v>1885</v>
      </c>
      <c r="L39" s="406"/>
    </row>
    <row r="40" spans="2:9" ht="14.25">
      <c r="B40" s="705" t="s">
        <v>74</v>
      </c>
      <c r="C40" s="705"/>
      <c r="D40" s="705"/>
      <c r="E40" s="705"/>
      <c r="F40" s="705"/>
      <c r="I40" s="413"/>
    </row>
    <row r="41" spans="2:9" ht="12.75">
      <c r="B41" s="732" t="s">
        <v>525</v>
      </c>
      <c r="C41" s="732"/>
      <c r="D41" s="732"/>
      <c r="E41" s="496" t="str">
        <f>E$2</f>
        <v>30.9.2010 г.</v>
      </c>
      <c r="F41" s="496" t="str">
        <f>F$2</f>
        <v>30.9.2009 г.</v>
      </c>
      <c r="I41" s="413"/>
    </row>
    <row r="42" spans="2:9" ht="12.75">
      <c r="B42" s="727" t="s">
        <v>552</v>
      </c>
      <c r="C42" s="727"/>
      <c r="D42" s="727"/>
      <c r="E42" s="476">
        <f>SUM(E43:E44)</f>
        <v>412</v>
      </c>
      <c r="F42" s="476">
        <f>SUM(F43:F44)</f>
        <v>214</v>
      </c>
      <c r="I42" s="413"/>
    </row>
    <row r="43" spans="2:9" ht="12.75">
      <c r="B43" s="726" t="s">
        <v>553</v>
      </c>
      <c r="C43" s="726"/>
      <c r="D43" s="726"/>
      <c r="E43" s="486">
        <v>411</v>
      </c>
      <c r="F43" s="486">
        <v>214</v>
      </c>
      <c r="I43" s="413"/>
    </row>
    <row r="44" spans="2:12" ht="12.75">
      <c r="B44" s="726" t="s">
        <v>554</v>
      </c>
      <c r="C44" s="726"/>
      <c r="D44" s="726"/>
      <c r="E44" s="486">
        <v>1</v>
      </c>
      <c r="F44" s="486"/>
      <c r="H44" s="681" t="str">
        <f>IF(AND(K45="",K47=""),"","Разлика между ОПР и ПРИЛОЖЕНИЕТО!")</f>
        <v>Разлика между ОПР и ПРИЛОЖЕНИЕТО!</v>
      </c>
      <c r="I44" s="681"/>
      <c r="J44" s="681"/>
      <c r="K44" s="681"/>
      <c r="L44" s="681"/>
    </row>
    <row r="45" spans="2:12" ht="12.75">
      <c r="B45" s="727" t="s">
        <v>555</v>
      </c>
      <c r="C45" s="727"/>
      <c r="D45" s="727"/>
      <c r="E45" s="476">
        <f>SUM(E46:E47)</f>
        <v>37</v>
      </c>
      <c r="F45" s="476">
        <f>SUM(F46:F47)</f>
        <v>122</v>
      </c>
      <c r="H45" s="680" t="str">
        <f>IF(K45="","","Разлика текущ период:")</f>
        <v>Разлика текущ период:</v>
      </c>
      <c r="I45" s="680"/>
      <c r="J45" s="680"/>
      <c r="K45" s="405">
        <f>IF(E48=ABS(ОПР!E24),"",E48-ABS(ОПР!E24))</f>
        <v>-399</v>
      </c>
      <c r="L45" s="406"/>
    </row>
    <row r="46" spans="2:12" ht="12.75">
      <c r="B46" s="726" t="s">
        <v>553</v>
      </c>
      <c r="C46" s="726"/>
      <c r="D46" s="726"/>
      <c r="E46" s="486">
        <v>36</v>
      </c>
      <c r="F46" s="486">
        <v>121</v>
      </c>
      <c r="H46" s="678" t="str">
        <f>IF(K45="","","Разходи за амор-ции по ОПР:")</f>
        <v>Разходи за амор-ции по ОПР:</v>
      </c>
      <c r="I46" s="678"/>
      <c r="J46" s="678"/>
      <c r="K46" s="407">
        <f>IF(K45="","",ABS(ОПР!E24))</f>
        <v>848</v>
      </c>
      <c r="L46" s="406"/>
    </row>
    <row r="47" spans="2:12" ht="12.75">
      <c r="B47" s="726" t="s">
        <v>554</v>
      </c>
      <c r="C47" s="726"/>
      <c r="D47" s="726"/>
      <c r="E47" s="486">
        <v>1</v>
      </c>
      <c r="F47" s="486">
        <v>1</v>
      </c>
      <c r="H47" s="680" t="str">
        <f>IF(K47="","","Разлика предходен период:")</f>
        <v>Разлика предходен период:</v>
      </c>
      <c r="I47" s="680"/>
      <c r="J47" s="680"/>
      <c r="K47" s="405">
        <f>IF(F48=ABS(ОПР!G24),"",F48-ABS(ОПР!G24))</f>
        <v>-193</v>
      </c>
      <c r="L47" s="406"/>
    </row>
    <row r="48" spans="2:12" ht="12.75">
      <c r="B48" s="733" t="s">
        <v>231</v>
      </c>
      <c r="C48" s="733"/>
      <c r="D48" s="733"/>
      <c r="E48" s="495">
        <f>E42+E45</f>
        <v>449</v>
      </c>
      <c r="F48" s="495">
        <f>F42+F45</f>
        <v>336</v>
      </c>
      <c r="H48" s="678" t="str">
        <f>IF(K47="","","Разходи за амор-ции по ОПР:")</f>
        <v>Разходи за амор-ции по ОПР:</v>
      </c>
      <c r="I48" s="678"/>
      <c r="J48" s="678"/>
      <c r="K48" s="407">
        <f>IF(K47="","",ABS(ОПР!G24))</f>
        <v>529</v>
      </c>
      <c r="L48" s="406"/>
    </row>
    <row r="49" spans="2:6" ht="14.25">
      <c r="B49" s="705" t="s">
        <v>556</v>
      </c>
      <c r="C49" s="705"/>
      <c r="D49" s="705"/>
      <c r="E49" s="705"/>
      <c r="F49" s="705"/>
    </row>
    <row r="50" spans="2:6" ht="12.75">
      <c r="B50" s="732" t="s">
        <v>557</v>
      </c>
      <c r="C50" s="732"/>
      <c r="D50" s="732"/>
      <c r="E50" s="496" t="str">
        <f>E$2</f>
        <v>30.9.2010 г.</v>
      </c>
      <c r="F50" s="496" t="str">
        <f>F$2</f>
        <v>30.9.2009 г.</v>
      </c>
    </row>
    <row r="51" spans="2:6" ht="12.75">
      <c r="B51" s="727" t="s">
        <v>558</v>
      </c>
      <c r="C51" s="727"/>
      <c r="D51" s="727"/>
      <c r="E51" s="476">
        <f>SUM(E52:E53)</f>
        <v>1165</v>
      </c>
      <c r="F51" s="476">
        <f>SUM(F52:F53)</f>
        <v>612</v>
      </c>
    </row>
    <row r="52" spans="2:6" ht="12.75">
      <c r="B52" s="726" t="s">
        <v>559</v>
      </c>
      <c r="C52" s="726"/>
      <c r="D52" s="726"/>
      <c r="E52" s="486">
        <v>597</v>
      </c>
      <c r="F52" s="486">
        <v>434</v>
      </c>
    </row>
    <row r="53" spans="2:6" ht="12.75">
      <c r="B53" s="726" t="s">
        <v>560</v>
      </c>
      <c r="C53" s="726"/>
      <c r="D53" s="726"/>
      <c r="E53" s="486">
        <v>568</v>
      </c>
      <c r="F53" s="486">
        <v>178</v>
      </c>
    </row>
    <row r="54" spans="2:12" ht="12.75">
      <c r="B54" s="727" t="s">
        <v>561</v>
      </c>
      <c r="C54" s="727"/>
      <c r="D54" s="727"/>
      <c r="E54" s="476">
        <f>SUM(E55:E56)</f>
        <v>166</v>
      </c>
      <c r="F54" s="476">
        <f>SUM(F55:F56)</f>
        <v>139</v>
      </c>
      <c r="H54" s="681" t="str">
        <f>IF(AND(K55="",K57=""),"","Разлика между ОПР и ПРИЛОЖЕНИЕТО!")</f>
        <v>Разлика между ОПР и ПРИЛОЖЕНИЕТО!</v>
      </c>
      <c r="I54" s="681"/>
      <c r="J54" s="681"/>
      <c r="K54" s="681"/>
      <c r="L54" s="681"/>
    </row>
    <row r="55" spans="2:12" ht="12.75">
      <c r="B55" s="726" t="s">
        <v>559</v>
      </c>
      <c r="C55" s="726"/>
      <c r="D55" s="726"/>
      <c r="E55" s="486">
        <v>129</v>
      </c>
      <c r="F55" s="486">
        <v>99</v>
      </c>
      <c r="H55" s="680" t="str">
        <f>IF(K55="","","Разлика текущ период:")</f>
        <v>Разлика текущ период:</v>
      </c>
      <c r="I55" s="680"/>
      <c r="J55" s="680"/>
      <c r="K55" s="405">
        <f>IF(E58=ABS(ОПР!E25),"",E58-ABS(ОПР!E25))</f>
        <v>224</v>
      </c>
      <c r="L55" s="406"/>
    </row>
    <row r="56" spans="2:12" ht="12.75">
      <c r="B56" s="726" t="s">
        <v>560</v>
      </c>
      <c r="C56" s="726"/>
      <c r="D56" s="726"/>
      <c r="E56" s="486">
        <v>37</v>
      </c>
      <c r="F56" s="486">
        <v>40</v>
      </c>
      <c r="H56" s="678" t="str">
        <f>IF(K55="","","Заплати и осигуровки по ОПР:")</f>
        <v>Заплати и осигуровки по ОПР:</v>
      </c>
      <c r="I56" s="678"/>
      <c r="J56" s="678"/>
      <c r="K56" s="407">
        <f>IF(K55="","",ABS(ОПР!E25))</f>
        <v>1107</v>
      </c>
      <c r="L56" s="406"/>
    </row>
    <row r="57" spans="2:12" ht="12.75">
      <c r="B57" s="727" t="s">
        <v>562</v>
      </c>
      <c r="C57" s="727"/>
      <c r="D57" s="727"/>
      <c r="E57" s="476">
        <v>66</v>
      </c>
      <c r="F57" s="476">
        <v>59</v>
      </c>
      <c r="H57" s="680" t="str">
        <f>IF(K57="","","Разлика предходен период:")</f>
        <v>Разлика предходен период:</v>
      </c>
      <c r="I57" s="680"/>
      <c r="J57" s="680"/>
      <c r="K57" s="405">
        <f>IF(F58=ABS(ОПР!G25),"",F58-ABS(ОПР!G25))</f>
        <v>55</v>
      </c>
      <c r="L57" s="406"/>
    </row>
    <row r="58" spans="2:12" ht="12.75">
      <c r="B58" s="733" t="s">
        <v>231</v>
      </c>
      <c r="C58" s="733"/>
      <c r="D58" s="733"/>
      <c r="E58" s="495">
        <f>E51+E54</f>
        <v>1331</v>
      </c>
      <c r="F58" s="495">
        <f>F51+F54</f>
        <v>751</v>
      </c>
      <c r="H58" s="678" t="str">
        <f>IF(K57="","","Заплати и осигуровки по ОПР:")</f>
        <v>Заплати и осигуровки по ОПР:</v>
      </c>
      <c r="I58" s="678"/>
      <c r="J58" s="678"/>
      <c r="K58" s="407">
        <f>IF(K57="","",ABS(ОПР!G25))</f>
        <v>696</v>
      </c>
      <c r="L58" s="406"/>
    </row>
    <row r="59" spans="2:6" ht="14.25">
      <c r="B59" s="705" t="s">
        <v>78</v>
      </c>
      <c r="C59" s="705"/>
      <c r="D59" s="705"/>
      <c r="E59" s="705"/>
      <c r="F59" s="705"/>
    </row>
    <row r="60" spans="2:6" ht="12.75">
      <c r="B60" s="732" t="s">
        <v>525</v>
      </c>
      <c r="C60" s="732"/>
      <c r="D60" s="732"/>
      <c r="E60" s="496" t="str">
        <f>E$2</f>
        <v>30.9.2010 г.</v>
      </c>
      <c r="F60" s="496" t="str">
        <f>F$2</f>
        <v>30.9.2009 г.</v>
      </c>
    </row>
    <row r="61" spans="2:6" ht="12.75">
      <c r="B61" s="726" t="s">
        <v>563</v>
      </c>
      <c r="C61" s="726"/>
      <c r="D61" s="726"/>
      <c r="E61" s="486"/>
      <c r="F61" s="486"/>
    </row>
    <row r="62" spans="2:12" ht="12.75">
      <c r="B62" s="726" t="s">
        <v>564</v>
      </c>
      <c r="C62" s="726"/>
      <c r="D62" s="726"/>
      <c r="E62" s="486"/>
      <c r="F62" s="486"/>
      <c r="H62" s="681">
        <f>IF(AND(K63="",K65=""),"","Разлика между ОПР и ПРИЛОЖЕНИЕТО!")</f>
      </c>
      <c r="I62" s="681"/>
      <c r="J62" s="681"/>
      <c r="K62" s="681"/>
      <c r="L62" s="681"/>
    </row>
    <row r="63" spans="2:12" ht="12.75">
      <c r="B63" s="726" t="s">
        <v>565</v>
      </c>
      <c r="C63" s="726"/>
      <c r="D63" s="726"/>
      <c r="E63" s="486"/>
      <c r="F63" s="486"/>
      <c r="H63" s="680">
        <f>IF(K63="","","Разлика текущ период:")</f>
      </c>
      <c r="I63" s="680"/>
      <c r="J63" s="680"/>
      <c r="K63" s="405">
        <f>IF(E66=ABS(ОПР!E26),"",E66-ABS(ОПР!E26))</f>
      </c>
      <c r="L63" s="406"/>
    </row>
    <row r="64" spans="2:12" ht="12.75">
      <c r="B64" s="726" t="s">
        <v>566</v>
      </c>
      <c r="C64" s="726"/>
      <c r="D64" s="726"/>
      <c r="E64" s="486"/>
      <c r="F64" s="486"/>
      <c r="H64" s="678">
        <f>IF(K63="","","Разходи за обезценки по ОПР:")</f>
      </c>
      <c r="I64" s="678"/>
      <c r="J64" s="678"/>
      <c r="K64" s="407">
        <f>IF(K63="","",ABS(ОПР!E26))</f>
      </c>
      <c r="L64" s="406"/>
    </row>
    <row r="65" spans="2:12" ht="12.75">
      <c r="B65" s="726" t="s">
        <v>567</v>
      </c>
      <c r="C65" s="726"/>
      <c r="D65" s="726"/>
      <c r="E65" s="486"/>
      <c r="F65" s="486"/>
      <c r="H65" s="680">
        <f>IF(K65="","","Разлика предходен период:")</f>
      </c>
      <c r="I65" s="680"/>
      <c r="J65" s="680"/>
      <c r="K65" s="405">
        <f>IF(F66=ABS(ОПР!G26),"",F66-ABS(ОПР!G26))</f>
      </c>
      <c r="L65" s="406"/>
    </row>
    <row r="66" spans="2:12" ht="12.75">
      <c r="B66" s="733" t="s">
        <v>231</v>
      </c>
      <c r="C66" s="733"/>
      <c r="D66" s="733"/>
      <c r="E66" s="495">
        <f>SUM(E61:E65)</f>
        <v>0</v>
      </c>
      <c r="F66" s="495">
        <f>SUM(F61:F65)</f>
        <v>0</v>
      </c>
      <c r="H66" s="678">
        <f>IF(K65="","","Разходи за обезценки по ОПР:")</f>
      </c>
      <c r="I66" s="678"/>
      <c r="J66" s="678"/>
      <c r="K66" s="407">
        <f>IF(K65="","",ABS(ОПР!G26))</f>
      </c>
      <c r="L66" s="406"/>
    </row>
    <row r="67" spans="2:6" ht="14.25">
      <c r="B67" s="705" t="s">
        <v>80</v>
      </c>
      <c r="C67" s="705"/>
      <c r="D67" s="705"/>
      <c r="E67" s="705"/>
      <c r="F67" s="705"/>
    </row>
    <row r="68" spans="2:6" ht="12.75">
      <c r="B68" s="732" t="s">
        <v>525</v>
      </c>
      <c r="C68" s="732"/>
      <c r="D68" s="732"/>
      <c r="E68" s="496" t="str">
        <f>E$2</f>
        <v>30.9.2010 г.</v>
      </c>
      <c r="F68" s="496" t="str">
        <f>F$2</f>
        <v>30.9.2009 г.</v>
      </c>
    </row>
    <row r="69" spans="2:6" ht="12.75">
      <c r="B69" s="714" t="s">
        <v>568</v>
      </c>
      <c r="C69" s="714"/>
      <c r="D69" s="714"/>
      <c r="E69" s="486">
        <v>27</v>
      </c>
      <c r="F69" s="486">
        <v>71</v>
      </c>
    </row>
    <row r="70" spans="2:6" ht="12.75">
      <c r="B70" s="714" t="s">
        <v>569</v>
      </c>
      <c r="C70" s="714"/>
      <c r="D70" s="714"/>
      <c r="E70" s="486">
        <v>17</v>
      </c>
      <c r="F70" s="486">
        <v>7</v>
      </c>
    </row>
    <row r="71" spans="2:6" ht="12.75">
      <c r="B71" s="714" t="s">
        <v>570</v>
      </c>
      <c r="C71" s="714"/>
      <c r="D71" s="714"/>
      <c r="E71" s="486"/>
      <c r="F71" s="486"/>
    </row>
    <row r="72" spans="2:6" ht="12.75">
      <c r="B72" s="714" t="s">
        <v>571</v>
      </c>
      <c r="C72" s="714"/>
      <c r="D72" s="714"/>
      <c r="E72" s="486"/>
      <c r="F72" s="486"/>
    </row>
    <row r="73" spans="2:6" ht="12.75">
      <c r="B73" s="714" t="s">
        <v>572</v>
      </c>
      <c r="C73" s="714"/>
      <c r="D73" s="714"/>
      <c r="E73" s="486"/>
      <c r="F73" s="486"/>
    </row>
    <row r="74" spans="2:6" ht="12.75">
      <c r="B74" s="714" t="s">
        <v>573</v>
      </c>
      <c r="C74" s="714"/>
      <c r="D74" s="714"/>
      <c r="E74" s="486">
        <v>173</v>
      </c>
      <c r="F74" s="486"/>
    </row>
    <row r="75" spans="2:6" ht="12.75">
      <c r="B75" s="714" t="s">
        <v>574</v>
      </c>
      <c r="C75" s="714"/>
      <c r="D75" s="714"/>
      <c r="E75" s="486"/>
      <c r="F75" s="486"/>
    </row>
    <row r="76" spans="2:9" ht="12.75">
      <c r="B76" s="714" t="s">
        <v>575</v>
      </c>
      <c r="C76" s="714"/>
      <c r="D76" s="714"/>
      <c r="E76" s="486">
        <v>198</v>
      </c>
      <c r="F76" s="486"/>
      <c r="I76" s="413"/>
    </row>
    <row r="77" spans="2:9" ht="12.75">
      <c r="B77" s="714" t="s">
        <v>576</v>
      </c>
      <c r="C77" s="714"/>
      <c r="D77" s="714"/>
      <c r="E77" s="486"/>
      <c r="F77" s="486"/>
      <c r="I77" s="413"/>
    </row>
    <row r="78" spans="2:9" ht="12.75">
      <c r="B78" s="714" t="s">
        <v>577</v>
      </c>
      <c r="C78" s="714"/>
      <c r="D78" s="714"/>
      <c r="E78" s="486">
        <v>11</v>
      </c>
      <c r="F78" s="486">
        <v>9</v>
      </c>
      <c r="I78" s="413"/>
    </row>
    <row r="79" spans="2:9" ht="12.75">
      <c r="B79" s="714" t="s">
        <v>80</v>
      </c>
      <c r="C79" s="714"/>
      <c r="D79" s="714"/>
      <c r="E79" s="486">
        <v>208</v>
      </c>
      <c r="F79" s="486">
        <v>280</v>
      </c>
      <c r="I79" s="413"/>
    </row>
    <row r="80" spans="2:9" ht="12.75">
      <c r="B80" s="726" t="s">
        <v>578</v>
      </c>
      <c r="C80" s="726"/>
      <c r="D80" s="726"/>
      <c r="E80" s="486">
        <v>124</v>
      </c>
      <c r="F80" s="486"/>
      <c r="I80" s="413"/>
    </row>
    <row r="81" spans="2:12" ht="12.75">
      <c r="B81" s="726" t="s">
        <v>536</v>
      </c>
      <c r="C81" s="726"/>
      <c r="D81" s="726"/>
      <c r="E81" s="486"/>
      <c r="F81" s="486"/>
      <c r="H81" s="681" t="str">
        <f>IF(AND(K82="",K84=""),"","Разлика между ОПР и ПРИЛОЖЕНИЕТО!")</f>
        <v>Разлика между ОПР и ПРИЛОЖЕНИЕТО!</v>
      </c>
      <c r="I81" s="681"/>
      <c r="J81" s="681"/>
      <c r="K81" s="681"/>
      <c r="L81" s="681"/>
    </row>
    <row r="82" spans="2:12" ht="12.75">
      <c r="B82" s="726" t="s">
        <v>536</v>
      </c>
      <c r="C82" s="726"/>
      <c r="D82" s="726"/>
      <c r="E82" s="486"/>
      <c r="F82" s="486"/>
      <c r="H82" s="680" t="str">
        <f>IF(K82="","","Разлика текущ период:")</f>
        <v>Разлика текущ период:</v>
      </c>
      <c r="I82" s="680"/>
      <c r="J82" s="680"/>
      <c r="K82" s="405">
        <f>IF(E85=ABS(ОПР!E27),"",E85-ABS(ОПР!E27))</f>
        <v>686</v>
      </c>
      <c r="L82" s="406"/>
    </row>
    <row r="83" spans="2:12" ht="12.75">
      <c r="B83" s="726" t="s">
        <v>536</v>
      </c>
      <c r="C83" s="726"/>
      <c r="D83" s="726"/>
      <c r="E83" s="486"/>
      <c r="F83" s="486"/>
      <c r="H83" s="678" t="str">
        <f>IF(K82="","","Други разходи по ОПР:")</f>
        <v>Други разходи по ОПР:</v>
      </c>
      <c r="I83" s="678"/>
      <c r="J83" s="678"/>
      <c r="K83" s="407">
        <f>IF(K82="","",ABS(ОПР!E27))</f>
        <v>72</v>
      </c>
      <c r="L83" s="406"/>
    </row>
    <row r="84" spans="2:12" ht="12.75">
      <c r="B84" s="726" t="s">
        <v>536</v>
      </c>
      <c r="C84" s="726"/>
      <c r="D84" s="726"/>
      <c r="E84" s="486"/>
      <c r="F84" s="486"/>
      <c r="H84" s="680" t="str">
        <f>IF(K84="","","Разлика предходен период:")</f>
        <v>Разлика предходен период:</v>
      </c>
      <c r="I84" s="680"/>
      <c r="J84" s="680"/>
      <c r="K84" s="405">
        <f>IF(F85=ABS(ОПР!G27),"",F85-ABS(ОПР!G27))</f>
        <v>328</v>
      </c>
      <c r="L84" s="406"/>
    </row>
    <row r="85" spans="2:12" ht="12.75">
      <c r="B85" s="688" t="s">
        <v>231</v>
      </c>
      <c r="C85" s="688"/>
      <c r="D85" s="688"/>
      <c r="E85" s="449">
        <f>SUM(E69:E84)</f>
        <v>758</v>
      </c>
      <c r="F85" s="449">
        <f>SUM(F69:F84)</f>
        <v>367</v>
      </c>
      <c r="H85" s="678" t="str">
        <f>IF(K84="","","Други разходи по ОПР:")</f>
        <v>Други разходи по ОПР:</v>
      </c>
      <c r="I85" s="678"/>
      <c r="J85" s="678"/>
      <c r="K85" s="407">
        <f>IF(K84="","",ABS(ОПР!G27))</f>
        <v>39</v>
      </c>
      <c r="L85" s="406"/>
    </row>
    <row r="86" spans="2:9" ht="14.25">
      <c r="B86" s="705" t="s">
        <v>579</v>
      </c>
      <c r="C86" s="705"/>
      <c r="D86" s="705"/>
      <c r="E86" s="705"/>
      <c r="F86" s="705"/>
      <c r="I86" s="413"/>
    </row>
    <row r="87" spans="2:9" ht="12.75">
      <c r="B87" s="732" t="s">
        <v>525</v>
      </c>
      <c r="C87" s="732"/>
      <c r="D87" s="732"/>
      <c r="E87" s="496" t="str">
        <f>E$2</f>
        <v>30.9.2010 г.</v>
      </c>
      <c r="F87" s="496" t="str">
        <f>F$2</f>
        <v>30.9.2009 г.</v>
      </c>
      <c r="I87" s="413"/>
    </row>
    <row r="88" spans="2:9" ht="12.75">
      <c r="B88" s="727" t="s">
        <v>580</v>
      </c>
      <c r="C88" s="727"/>
      <c r="D88" s="727"/>
      <c r="E88" s="476">
        <f>SUM(E89:E90)</f>
        <v>-7</v>
      </c>
      <c r="F88" s="476">
        <f>SUM(F89:F90)</f>
        <v>-142</v>
      </c>
      <c r="I88" s="413"/>
    </row>
    <row r="89" spans="2:9" ht="12.75">
      <c r="B89" s="714" t="s">
        <v>581</v>
      </c>
      <c r="C89" s="714"/>
      <c r="D89" s="714"/>
      <c r="E89" s="486">
        <v>-7</v>
      </c>
      <c r="F89" s="486">
        <v>-142</v>
      </c>
      <c r="H89" s="1" t="s">
        <v>582</v>
      </c>
      <c r="I89" s="413"/>
    </row>
    <row r="90" spans="2:9" ht="12.75">
      <c r="B90" s="714" t="s">
        <v>583</v>
      </c>
      <c r="C90" s="714"/>
      <c r="D90" s="714"/>
      <c r="E90" s="486"/>
      <c r="F90" s="486"/>
      <c r="I90" s="413"/>
    </row>
    <row r="91" spans="2:9" ht="12.75">
      <c r="B91" s="715" t="s">
        <v>584</v>
      </c>
      <c r="C91" s="715"/>
      <c r="D91" s="715"/>
      <c r="E91" s="486">
        <f>SUM(E92:E93)</f>
        <v>609</v>
      </c>
      <c r="F91" s="486">
        <f>SUM(F92:F93)</f>
        <v>250</v>
      </c>
      <c r="I91" s="413"/>
    </row>
    <row r="92" spans="2:12" ht="12.75">
      <c r="B92" s="714" t="s">
        <v>585</v>
      </c>
      <c r="C92" s="714"/>
      <c r="D92" s="714"/>
      <c r="E92" s="486">
        <v>609</v>
      </c>
      <c r="F92" s="486">
        <v>250</v>
      </c>
      <c r="H92" s="681" t="str">
        <f>IF(AND(K93="",K95=""),"","Разлика между ОПР и ПРИЛОЖЕНИЕТО!")</f>
        <v>Разлика между ОПР и ПРИЛОЖЕНИЕТО!</v>
      </c>
      <c r="I92" s="681"/>
      <c r="J92" s="681"/>
      <c r="K92" s="681"/>
      <c r="L92" s="681"/>
    </row>
    <row r="93" spans="2:12" ht="12.75">
      <c r="B93" s="714" t="s">
        <v>586</v>
      </c>
      <c r="C93" s="714"/>
      <c r="D93" s="714"/>
      <c r="E93" s="486"/>
      <c r="F93" s="486"/>
      <c r="H93" s="680" t="str">
        <f>IF(K93="","","Разлика текущ период:")</f>
        <v>Разлика текущ период:</v>
      </c>
      <c r="I93" s="680"/>
      <c r="J93" s="680"/>
      <c r="K93" s="405">
        <f>IF(E96=ABS(ОПР!E29),"",E96-ABS(ОПР!E29))</f>
        <v>-2605</v>
      </c>
      <c r="L93" s="406"/>
    </row>
    <row r="94" spans="2:12" ht="12.75">
      <c r="B94" s="715" t="s">
        <v>587</v>
      </c>
      <c r="C94" s="715"/>
      <c r="D94" s="715"/>
      <c r="E94" s="486"/>
      <c r="F94" s="486"/>
      <c r="H94" s="678" t="str">
        <f>IF(K93="","","Корективни суми по ОПР:")</f>
        <v>Корективни суми по ОПР:</v>
      </c>
      <c r="I94" s="678"/>
      <c r="J94" s="678"/>
      <c r="K94" s="407">
        <f>IF(K93="","",ABS(ОПР!E29))</f>
        <v>3207</v>
      </c>
      <c r="L94" s="406"/>
    </row>
    <row r="95" spans="2:12" ht="12.75">
      <c r="B95" s="715" t="s">
        <v>588</v>
      </c>
      <c r="C95" s="715"/>
      <c r="D95" s="715"/>
      <c r="E95" s="486"/>
      <c r="F95" s="486"/>
      <c r="H95" s="680" t="str">
        <f>IF(K95="","","Разлика предходен период:")</f>
        <v>Разлика предходен период:</v>
      </c>
      <c r="I95" s="680"/>
      <c r="J95" s="680"/>
      <c r="K95" s="405">
        <f>IF(F96=ABS(ОПР!G29),"",F96-ABS(ОПР!G29))</f>
        <v>-15</v>
      </c>
      <c r="L95" s="406"/>
    </row>
    <row r="96" spans="2:12" ht="12.75">
      <c r="B96" s="688" t="s">
        <v>231</v>
      </c>
      <c r="C96" s="688"/>
      <c r="D96" s="688"/>
      <c r="E96" s="449">
        <f>E88+E91+E94+E95</f>
        <v>602</v>
      </c>
      <c r="F96" s="449">
        <f>F88+F91+F94+F95</f>
        <v>108</v>
      </c>
      <c r="H96" s="678" t="str">
        <f>IF(K95="","","Корективни суми по ОПР:")</f>
        <v>Корективни суми по ОПР:</v>
      </c>
      <c r="I96" s="678"/>
      <c r="J96" s="678"/>
      <c r="K96" s="407">
        <f>IF(K95="","",ABS(ОПР!G29))</f>
        <v>123</v>
      </c>
      <c r="L96" s="406"/>
    </row>
    <row r="97" spans="2:6" ht="14.25">
      <c r="B97" s="705" t="s">
        <v>589</v>
      </c>
      <c r="C97" s="705"/>
      <c r="D97" s="705"/>
      <c r="E97" s="705"/>
      <c r="F97" s="705"/>
    </row>
    <row r="98" spans="2:14" ht="12.75">
      <c r="B98" s="732" t="s">
        <v>525</v>
      </c>
      <c r="C98" s="732"/>
      <c r="D98" s="732"/>
      <c r="E98" s="496" t="str">
        <f>E$2</f>
        <v>30.9.2010 г.</v>
      </c>
      <c r="F98" s="496" t="str">
        <f>F$2</f>
        <v>30.9.2009 г.</v>
      </c>
      <c r="H98" s="1" t="s">
        <v>590</v>
      </c>
      <c r="N98" s="1" t="s">
        <v>591</v>
      </c>
    </row>
    <row r="99" spans="2:12" ht="12.75">
      <c r="B99" s="715" t="s">
        <v>581</v>
      </c>
      <c r="C99" s="715"/>
      <c r="D99" s="715"/>
      <c r="E99" s="476">
        <f>SUM(E100:E101)</f>
        <v>0</v>
      </c>
      <c r="F99" s="476">
        <f>SUM(F100:F101)</f>
        <v>0</v>
      </c>
      <c r="H99" s="681">
        <f>IF(AND(K100="",K102=""),"","Разлика между ОПР и ПРИЛОЖЕНИЕТО!")</f>
      </c>
      <c r="I99" s="681"/>
      <c r="J99" s="681"/>
      <c r="K99" s="681"/>
      <c r="L99" s="681"/>
    </row>
    <row r="100" spans="2:12" ht="12.75">
      <c r="B100" s="714" t="s">
        <v>592</v>
      </c>
      <c r="C100" s="714"/>
      <c r="D100" s="714"/>
      <c r="E100" s="486"/>
      <c r="F100" s="486"/>
      <c r="H100" s="680">
        <f>IF(K100="","","Разлика текущ период:")</f>
      </c>
      <c r="I100" s="680"/>
      <c r="J100" s="680"/>
      <c r="K100" s="405">
        <f>IF(E103=(ОПР!E39),"",E103-(ОПР!E39))</f>
      </c>
      <c r="L100" s="406"/>
    </row>
    <row r="101" spans="2:12" ht="12.75">
      <c r="B101" s="714" t="s">
        <v>593</v>
      </c>
      <c r="C101" s="714"/>
      <c r="D101" s="714"/>
      <c r="E101" s="486"/>
      <c r="F101" s="486"/>
      <c r="H101" s="678">
        <f>IF(K100="","","Резултат от ДА по ОПР:")</f>
      </c>
      <c r="I101" s="678"/>
      <c r="J101" s="678"/>
      <c r="K101" s="407">
        <f>IF(K100="","",(ОПР!E39))</f>
      </c>
      <c r="L101" s="406"/>
    </row>
    <row r="102" spans="2:12" ht="12.75">
      <c r="B102" s="715" t="s">
        <v>594</v>
      </c>
      <c r="C102" s="715"/>
      <c r="D102" s="715"/>
      <c r="E102" s="486"/>
      <c r="F102" s="486"/>
      <c r="H102" s="680">
        <f>IF(K102="","","Разлика предходен период:")</f>
      </c>
      <c r="I102" s="680"/>
      <c r="J102" s="680"/>
      <c r="K102" s="405">
        <f>IF(F103=(ОПР!G39),"",F103-(ОПР!G39))</f>
      </c>
      <c r="L102" s="406"/>
    </row>
    <row r="103" spans="2:12" ht="12.75">
      <c r="B103" s="688" t="s">
        <v>231</v>
      </c>
      <c r="C103" s="688"/>
      <c r="D103" s="688"/>
      <c r="E103" s="449">
        <f>E102-E99</f>
        <v>0</v>
      </c>
      <c r="F103" s="449">
        <f>F102-F99</f>
        <v>0</v>
      </c>
      <c r="H103" s="678">
        <f>IF(K102="","","Резултат от ДА по ОПР:")</f>
      </c>
      <c r="I103" s="678"/>
      <c r="J103" s="678"/>
      <c r="K103" s="407">
        <f>IF(K102="","",(ОПР!G39))</f>
      </c>
      <c r="L103" s="406"/>
    </row>
    <row r="104" spans="2:6" ht="14.25">
      <c r="B104" s="705" t="s">
        <v>595</v>
      </c>
      <c r="C104" s="705"/>
      <c r="D104" s="705"/>
      <c r="E104" s="705"/>
      <c r="F104" s="705"/>
    </row>
    <row r="105" spans="2:6" ht="12.75">
      <c r="B105" s="732" t="s">
        <v>525</v>
      </c>
      <c r="C105" s="732"/>
      <c r="D105" s="732"/>
      <c r="E105" s="496" t="str">
        <f>E$2</f>
        <v>30.9.2010 г.</v>
      </c>
      <c r="F105" s="496" t="str">
        <f>F$2</f>
        <v>30.9.2009 г.</v>
      </c>
    </row>
    <row r="106" spans="2:6" ht="12.75">
      <c r="B106" s="715" t="s">
        <v>596</v>
      </c>
      <c r="C106" s="715"/>
      <c r="D106" s="715"/>
      <c r="E106" s="476"/>
      <c r="F106" s="476"/>
    </row>
    <row r="107" spans="2:6" ht="12.75">
      <c r="B107" s="714" t="s">
        <v>516</v>
      </c>
      <c r="C107" s="714"/>
      <c r="D107" s="714"/>
      <c r="E107" s="486">
        <v>249</v>
      </c>
      <c r="F107" s="486">
        <v>354</v>
      </c>
    </row>
    <row r="108" spans="2:6" ht="12.75">
      <c r="B108" s="714" t="s">
        <v>517</v>
      </c>
      <c r="C108" s="714"/>
      <c r="D108" s="714"/>
      <c r="E108" s="486">
        <v>67</v>
      </c>
      <c r="F108" s="486">
        <v>73</v>
      </c>
    </row>
    <row r="109" spans="2:6" ht="12.75">
      <c r="B109" s="714" t="s">
        <v>518</v>
      </c>
      <c r="C109" s="714"/>
      <c r="D109" s="714"/>
      <c r="E109" s="486"/>
      <c r="F109" s="486"/>
    </row>
    <row r="110" spans="2:6" ht="12.75">
      <c r="B110" s="714" t="s">
        <v>519</v>
      </c>
      <c r="C110" s="714"/>
      <c r="D110" s="714"/>
      <c r="E110" s="486"/>
      <c r="F110" s="486"/>
    </row>
    <row r="111" spans="2:12" ht="12.75">
      <c r="B111" s="714" t="s">
        <v>520</v>
      </c>
      <c r="C111" s="714"/>
      <c r="D111" s="714"/>
      <c r="E111" s="486">
        <v>22</v>
      </c>
      <c r="F111" s="486"/>
      <c r="H111" s="681" t="str">
        <f>IF(AND(K112="",K114=""),"","Разлика между ОПР и ПРИЛОЖЕНИЕТО!")</f>
        <v>Разлика между ОПР и ПРИЛОЖЕНИЕТО!</v>
      </c>
      <c r="I111" s="681"/>
      <c r="J111" s="681"/>
      <c r="K111" s="681"/>
      <c r="L111" s="681"/>
    </row>
    <row r="112" spans="2:12" ht="12.75">
      <c r="B112" s="715" t="s">
        <v>521</v>
      </c>
      <c r="C112" s="715"/>
      <c r="D112" s="715"/>
      <c r="E112" s="445"/>
      <c r="F112" s="445"/>
      <c r="H112" s="680" t="str">
        <f>IF(K112="","","Разлика текущ период:")</f>
        <v>Разлика текущ период:</v>
      </c>
      <c r="I112" s="680"/>
      <c r="J112" s="680"/>
      <c r="K112" s="405">
        <f>IF(E115=ABS(ОПР!E35),"",E115-ABS(ОПР!E35))</f>
        <v>-277</v>
      </c>
      <c r="L112" s="406"/>
    </row>
    <row r="113" spans="2:12" ht="12.75">
      <c r="B113" s="715" t="s">
        <v>597</v>
      </c>
      <c r="C113" s="715"/>
      <c r="D113" s="715"/>
      <c r="E113" s="445">
        <v>7</v>
      </c>
      <c r="F113" s="445">
        <v>1</v>
      </c>
      <c r="H113" s="678" t="str">
        <f>IF(K112="","","Финасови разходи по ОПР:")</f>
        <v>Финасови разходи по ОПР:</v>
      </c>
      <c r="I113" s="678"/>
      <c r="J113" s="678"/>
      <c r="K113" s="407">
        <f>IF(K112="","",ABS(ОПР!E35))</f>
        <v>716</v>
      </c>
      <c r="L113" s="406"/>
    </row>
    <row r="114" spans="2:12" ht="12.75">
      <c r="B114" s="715" t="s">
        <v>598</v>
      </c>
      <c r="C114" s="715"/>
      <c r="D114" s="715"/>
      <c r="E114" s="445">
        <v>94</v>
      </c>
      <c r="F114" s="445"/>
      <c r="H114" s="680" t="str">
        <f>IF(K114="","","Разлика предходен период:")</f>
        <v>Разлика предходен период:</v>
      </c>
      <c r="I114" s="680"/>
      <c r="J114" s="680"/>
      <c r="K114" s="405">
        <f>IF(F115=ABS(ОПР!G35),"",F115-ABS(ОПР!G35))</f>
        <v>153</v>
      </c>
      <c r="L114" s="406"/>
    </row>
    <row r="115" spans="2:12" ht="12.75">
      <c r="B115" s="688" t="s">
        <v>231</v>
      </c>
      <c r="C115" s="688"/>
      <c r="D115" s="688"/>
      <c r="E115" s="449">
        <f>SUM(E106:E114)</f>
        <v>439</v>
      </c>
      <c r="F115" s="449">
        <f>SUM(F106:F114)</f>
        <v>428</v>
      </c>
      <c r="H115" s="678" t="str">
        <f>IF(K114="","","Финасови разходи по ОПР:")</f>
        <v>Финасови разходи по ОПР:</v>
      </c>
      <c r="I115" s="678"/>
      <c r="J115" s="678"/>
      <c r="K115" s="407">
        <f>IF(K114="","",ABS(ОПР!G35))</f>
        <v>275</v>
      </c>
      <c r="L115" s="406"/>
    </row>
    <row r="116" spans="2:6" ht="14.25">
      <c r="B116" s="705" t="s">
        <v>599</v>
      </c>
      <c r="C116" s="705"/>
      <c r="D116" s="705"/>
      <c r="E116" s="705"/>
      <c r="F116" s="705"/>
    </row>
    <row r="117" spans="2:6" ht="12.75">
      <c r="B117" s="732" t="s">
        <v>525</v>
      </c>
      <c r="C117" s="732"/>
      <c r="D117" s="732"/>
      <c r="E117" s="496" t="str">
        <f>E$2</f>
        <v>30.9.2010 г.</v>
      </c>
      <c r="F117" s="496" t="str">
        <f>F$2</f>
        <v>30.9.2009 г.</v>
      </c>
    </row>
    <row r="118" spans="2:6" ht="12.75">
      <c r="B118" s="714" t="s">
        <v>600</v>
      </c>
      <c r="C118" s="714"/>
      <c r="D118" s="714"/>
      <c r="E118" s="497">
        <v>109</v>
      </c>
      <c r="F118" s="497">
        <v>355</v>
      </c>
    </row>
    <row r="119" spans="2:6" ht="12.75">
      <c r="B119" s="714" t="s">
        <v>62</v>
      </c>
      <c r="C119" s="714"/>
      <c r="D119" s="714"/>
      <c r="E119" s="497">
        <v>3</v>
      </c>
      <c r="F119" s="497">
        <v>-9</v>
      </c>
    </row>
    <row r="120" spans="2:6" ht="12.75">
      <c r="B120" s="688" t="s">
        <v>231</v>
      </c>
      <c r="C120" s="688"/>
      <c r="D120" s="688"/>
      <c r="E120" s="449">
        <f>SUM(E118:E119)</f>
        <v>112</v>
      </c>
      <c r="F120" s="449">
        <f>SUM(F118:F119)</f>
        <v>346</v>
      </c>
    </row>
  </sheetData>
  <mergeCells count="165">
    <mergeCell ref="B1:F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H15:L15"/>
    <mergeCell ref="B16:D16"/>
    <mergeCell ref="H16:J16"/>
    <mergeCell ref="B17:D17"/>
    <mergeCell ref="H17:J17"/>
    <mergeCell ref="B18:D18"/>
    <mergeCell ref="H18:J18"/>
    <mergeCell ref="B19:D19"/>
    <mergeCell ref="H19:J19"/>
    <mergeCell ref="B20:F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H35:L35"/>
    <mergeCell ref="B36:D36"/>
    <mergeCell ref="H36:J36"/>
    <mergeCell ref="B37:D37"/>
    <mergeCell ref="H37:J37"/>
    <mergeCell ref="B38:D38"/>
    <mergeCell ref="H38:J38"/>
    <mergeCell ref="B39:D39"/>
    <mergeCell ref="H39:J39"/>
    <mergeCell ref="B40:F40"/>
    <mergeCell ref="B41:D41"/>
    <mergeCell ref="B42:D42"/>
    <mergeCell ref="B43:D43"/>
    <mergeCell ref="B44:D44"/>
    <mergeCell ref="H44:L44"/>
    <mergeCell ref="B45:D45"/>
    <mergeCell ref="H45:J45"/>
    <mergeCell ref="B46:D46"/>
    <mergeCell ref="H46:J46"/>
    <mergeCell ref="B47:D47"/>
    <mergeCell ref="H47:J47"/>
    <mergeCell ref="B48:D48"/>
    <mergeCell ref="H48:J48"/>
    <mergeCell ref="B49:F49"/>
    <mergeCell ref="B50:D50"/>
    <mergeCell ref="B51:D51"/>
    <mergeCell ref="B52:D52"/>
    <mergeCell ref="B53:D53"/>
    <mergeCell ref="B54:D54"/>
    <mergeCell ref="H54:L54"/>
    <mergeCell ref="B55:D55"/>
    <mergeCell ref="H55:J55"/>
    <mergeCell ref="B56:D56"/>
    <mergeCell ref="H56:J56"/>
    <mergeCell ref="B57:D57"/>
    <mergeCell ref="H57:J57"/>
    <mergeCell ref="B58:D58"/>
    <mergeCell ref="H58:J58"/>
    <mergeCell ref="B59:F59"/>
    <mergeCell ref="B60:D60"/>
    <mergeCell ref="B61:D61"/>
    <mergeCell ref="B62:D62"/>
    <mergeCell ref="H62:L62"/>
    <mergeCell ref="B63:D63"/>
    <mergeCell ref="H63:J63"/>
    <mergeCell ref="B64:D64"/>
    <mergeCell ref="H64:J64"/>
    <mergeCell ref="B65:D65"/>
    <mergeCell ref="H65:J65"/>
    <mergeCell ref="B66:D66"/>
    <mergeCell ref="H66:J66"/>
    <mergeCell ref="B67:F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H81:L81"/>
    <mergeCell ref="B82:D82"/>
    <mergeCell ref="H82:J82"/>
    <mergeCell ref="B83:D83"/>
    <mergeCell ref="H83:J83"/>
    <mergeCell ref="B84:D84"/>
    <mergeCell ref="H84:J84"/>
    <mergeCell ref="B85:D85"/>
    <mergeCell ref="H85:J85"/>
    <mergeCell ref="B86:F86"/>
    <mergeCell ref="B87:D87"/>
    <mergeCell ref="B88:D88"/>
    <mergeCell ref="B89:D89"/>
    <mergeCell ref="B90:D90"/>
    <mergeCell ref="B91:D91"/>
    <mergeCell ref="B92:D92"/>
    <mergeCell ref="H92:L92"/>
    <mergeCell ref="B93:D93"/>
    <mergeCell ref="H93:J93"/>
    <mergeCell ref="B94:D94"/>
    <mergeCell ref="H94:J94"/>
    <mergeCell ref="B95:D95"/>
    <mergeCell ref="H95:J95"/>
    <mergeCell ref="B96:D96"/>
    <mergeCell ref="H96:J96"/>
    <mergeCell ref="B97:F97"/>
    <mergeCell ref="B98:D98"/>
    <mergeCell ref="B99:D99"/>
    <mergeCell ref="H99:L99"/>
    <mergeCell ref="B100:D100"/>
    <mergeCell ref="H100:J100"/>
    <mergeCell ref="B101:D101"/>
    <mergeCell ref="H101:J101"/>
    <mergeCell ref="B102:D102"/>
    <mergeCell ref="H102:J102"/>
    <mergeCell ref="B103:D103"/>
    <mergeCell ref="H103:J103"/>
    <mergeCell ref="B104:F104"/>
    <mergeCell ref="B105:D105"/>
    <mergeCell ref="B106:D106"/>
    <mergeCell ref="B107:D107"/>
    <mergeCell ref="B108:D108"/>
    <mergeCell ref="B109:D109"/>
    <mergeCell ref="B110:D110"/>
    <mergeCell ref="B111:D111"/>
    <mergeCell ref="H111:L111"/>
    <mergeCell ref="B112:D112"/>
    <mergeCell ref="H112:J112"/>
    <mergeCell ref="B113:D113"/>
    <mergeCell ref="H113:J113"/>
    <mergeCell ref="B114:D114"/>
    <mergeCell ref="H114:J114"/>
    <mergeCell ref="B115:D115"/>
    <mergeCell ref="H115:J115"/>
    <mergeCell ref="B120:D120"/>
    <mergeCell ref="B116:F116"/>
    <mergeCell ref="B117:D117"/>
    <mergeCell ref="B118:D118"/>
    <mergeCell ref="B119:D11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E20"/>
  <sheetViews>
    <sheetView workbookViewId="0" topLeftCell="A1">
      <selection activeCell="E7" sqref="E7"/>
    </sheetView>
  </sheetViews>
  <sheetFormatPr defaultColWidth="9.140625" defaultRowHeight="12.75"/>
  <cols>
    <col min="1" max="1" width="9.140625" style="1" customWidth="1"/>
    <col min="2" max="2" width="38.7109375" style="1" customWidth="1"/>
    <col min="3" max="3" width="9.8515625" style="1" customWidth="1"/>
    <col min="4" max="16384" width="9.140625" style="1" customWidth="1"/>
  </cols>
  <sheetData>
    <row r="1" spans="2:5" ht="14.25">
      <c r="B1" s="686" t="s">
        <v>601</v>
      </c>
      <c r="C1" s="686"/>
      <c r="D1" s="686"/>
      <c r="E1" s="686"/>
    </row>
    <row r="2" spans="2:5" ht="63.75">
      <c r="B2" s="498" t="s">
        <v>602</v>
      </c>
      <c r="C2" s="498" t="s">
        <v>603</v>
      </c>
      <c r="D2" s="498" t="s">
        <v>604</v>
      </c>
      <c r="E2" s="498" t="s">
        <v>605</v>
      </c>
    </row>
    <row r="3" spans="2:5" ht="12.75">
      <c r="B3" s="499" t="s">
        <v>606</v>
      </c>
      <c r="C3" s="500">
        <v>377</v>
      </c>
      <c r="D3" s="500">
        <v>394</v>
      </c>
      <c r="E3" s="500">
        <f>D3-C3</f>
        <v>17</v>
      </c>
    </row>
    <row r="4" spans="2:5" ht="12.75">
      <c r="B4" s="473" t="s">
        <v>607</v>
      </c>
      <c r="C4" s="317">
        <v>3227</v>
      </c>
      <c r="D4" s="317">
        <v>3898</v>
      </c>
      <c r="E4" s="500">
        <f aca="true" t="shared" si="0" ref="E4:E18">D4-C4</f>
        <v>671</v>
      </c>
    </row>
    <row r="5" spans="2:5" ht="12.75">
      <c r="B5" s="473" t="s">
        <v>608</v>
      </c>
      <c r="C5" s="317">
        <v>316</v>
      </c>
      <c r="D5" s="317">
        <v>546</v>
      </c>
      <c r="E5" s="500">
        <f t="shared" si="0"/>
        <v>230</v>
      </c>
    </row>
    <row r="6" spans="2:5" ht="12.75">
      <c r="B6" s="473" t="s">
        <v>609</v>
      </c>
      <c r="C6" s="317">
        <v>330</v>
      </c>
      <c r="D6" s="317">
        <v>383</v>
      </c>
      <c r="E6" s="500">
        <f t="shared" si="0"/>
        <v>53</v>
      </c>
    </row>
    <row r="7" spans="2:5" ht="12.75">
      <c r="B7" s="473" t="s">
        <v>610</v>
      </c>
      <c r="C7" s="317"/>
      <c r="D7" s="317"/>
      <c r="E7" s="500">
        <f t="shared" si="0"/>
        <v>0</v>
      </c>
    </row>
    <row r="8" spans="2:5" ht="12.75">
      <c r="B8" s="473" t="s">
        <v>611</v>
      </c>
      <c r="C8" s="317">
        <v>166</v>
      </c>
      <c r="D8" s="317">
        <v>202</v>
      </c>
      <c r="E8" s="500">
        <f t="shared" si="0"/>
        <v>36</v>
      </c>
    </row>
    <row r="9" spans="2:5" ht="12.75">
      <c r="B9" s="473" t="s">
        <v>612</v>
      </c>
      <c r="C9" s="317"/>
      <c r="D9" s="317"/>
      <c r="E9" s="500">
        <f t="shared" si="0"/>
        <v>0</v>
      </c>
    </row>
    <row r="10" spans="2:5" ht="14.25">
      <c r="B10" s="501" t="s">
        <v>613</v>
      </c>
      <c r="C10" s="502">
        <v>653</v>
      </c>
      <c r="D10" s="317">
        <v>1243</v>
      </c>
      <c r="E10" s="500">
        <f t="shared" si="0"/>
        <v>590</v>
      </c>
    </row>
    <row r="11" spans="2:5" ht="12.75">
      <c r="B11" s="473" t="s">
        <v>614</v>
      </c>
      <c r="C11" s="317">
        <v>1835</v>
      </c>
      <c r="D11" s="317">
        <v>1700</v>
      </c>
      <c r="E11" s="500">
        <f t="shared" si="0"/>
        <v>-135</v>
      </c>
    </row>
    <row r="12" spans="2:5" ht="12.75">
      <c r="B12" s="473" t="s">
        <v>615</v>
      </c>
      <c r="C12" s="317">
        <v>720</v>
      </c>
      <c r="D12" s="317">
        <v>881</v>
      </c>
      <c r="E12" s="500">
        <f t="shared" si="0"/>
        <v>161</v>
      </c>
    </row>
    <row r="13" spans="2:5" ht="12.75">
      <c r="B13" s="473" t="s">
        <v>616</v>
      </c>
      <c r="C13" s="317"/>
      <c r="D13" s="317"/>
      <c r="E13" s="500">
        <f t="shared" si="0"/>
        <v>0</v>
      </c>
    </row>
    <row r="14" spans="2:5" ht="12.75">
      <c r="B14" s="473" t="s">
        <v>617</v>
      </c>
      <c r="C14" s="317">
        <v>12</v>
      </c>
      <c r="D14" s="317">
        <v>848</v>
      </c>
      <c r="E14" s="500">
        <f t="shared" si="0"/>
        <v>836</v>
      </c>
    </row>
    <row r="15" spans="2:5" ht="12.75">
      <c r="B15" s="473" t="s">
        <v>618</v>
      </c>
      <c r="C15" s="317"/>
      <c r="D15" s="317"/>
      <c r="E15" s="500">
        <f t="shared" si="0"/>
        <v>0</v>
      </c>
    </row>
    <row r="16" spans="2:5" ht="12.75">
      <c r="B16" s="473" t="s">
        <v>619</v>
      </c>
      <c r="C16" s="317"/>
      <c r="D16" s="317"/>
      <c r="E16" s="500">
        <f t="shared" si="0"/>
        <v>0</v>
      </c>
    </row>
    <row r="17" spans="2:5" ht="12.75">
      <c r="B17" s="473" t="s">
        <v>620</v>
      </c>
      <c r="C17" s="317"/>
      <c r="D17" s="317"/>
      <c r="E17" s="500">
        <f t="shared" si="0"/>
        <v>0</v>
      </c>
    </row>
    <row r="18" spans="2:5" ht="12.75">
      <c r="B18" s="473" t="s">
        <v>621</v>
      </c>
      <c r="C18" s="317"/>
      <c r="D18" s="317"/>
      <c r="E18" s="500">
        <f t="shared" si="0"/>
        <v>0</v>
      </c>
    </row>
    <row r="19" spans="2:5" ht="40.5" customHeight="1">
      <c r="B19" s="503" t="s">
        <v>622</v>
      </c>
      <c r="C19" s="504">
        <f>SUM(C3:C18)</f>
        <v>7636</v>
      </c>
      <c r="D19" s="504">
        <f>SUM(D3:D18)</f>
        <v>10095</v>
      </c>
      <c r="E19" s="504">
        <f>SUM(E3:E18)</f>
        <v>2459</v>
      </c>
    </row>
    <row r="20" ht="15.75">
      <c r="E20" s="505"/>
    </row>
  </sheetData>
  <mergeCells count="1">
    <mergeCell ref="B1:E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165"/>
  <sheetViews>
    <sheetView workbookViewId="0" topLeftCell="A148">
      <selection activeCell="M31" sqref="M31"/>
    </sheetView>
  </sheetViews>
  <sheetFormatPr defaultColWidth="9.140625" defaultRowHeight="12.75"/>
  <cols>
    <col min="1" max="1" width="4.28125" style="1" customWidth="1"/>
    <col min="2" max="6" width="6.28125" style="1" customWidth="1"/>
    <col min="7" max="7" width="6.140625" style="1" customWidth="1"/>
    <col min="8" max="8" width="5.00390625" style="1" customWidth="1"/>
    <col min="9" max="9" width="6.140625" style="1" customWidth="1"/>
    <col min="10" max="10" width="5.140625" style="1" customWidth="1"/>
    <col min="11" max="11" width="6.140625" style="1" customWidth="1"/>
    <col min="12" max="12" width="5.00390625" style="1" customWidth="1"/>
    <col min="13" max="13" width="6.140625" style="1" customWidth="1"/>
    <col min="14" max="14" width="5.140625" style="1" customWidth="1"/>
    <col min="15" max="16384" width="9.140625" style="1" customWidth="1"/>
  </cols>
  <sheetData>
    <row r="1" spans="2:14" ht="14.25">
      <c r="B1" s="705" t="s">
        <v>623</v>
      </c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</row>
    <row r="2" spans="2:14" ht="12.75">
      <c r="B2" s="687" t="s">
        <v>624</v>
      </c>
      <c r="C2" s="687"/>
      <c r="D2" s="687"/>
      <c r="E2" s="687"/>
      <c r="F2" s="739" t="s">
        <v>625</v>
      </c>
      <c r="G2" s="739"/>
      <c r="H2" s="739"/>
      <c r="I2" s="739"/>
      <c r="J2" s="739"/>
      <c r="K2" s="701" t="str">
        <f>НАЧАЛО!AD1&amp;" г."</f>
        <v>30.9.2010 г.</v>
      </c>
      <c r="L2" s="701"/>
      <c r="M2" s="701" t="str">
        <f>НАЧАЛО!AF1&amp;" г."</f>
        <v>30.9.2009 г.</v>
      </c>
      <c r="N2" s="701"/>
    </row>
    <row r="3" spans="2:14" ht="12.75">
      <c r="B3" s="689" t="s">
        <v>626</v>
      </c>
      <c r="C3" s="689"/>
      <c r="D3" s="689"/>
      <c r="E3" s="689"/>
      <c r="F3" s="689" t="s">
        <v>627</v>
      </c>
      <c r="G3" s="689"/>
      <c r="H3" s="689"/>
      <c r="I3" s="689"/>
      <c r="J3" s="689"/>
      <c r="K3" s="679">
        <v>128</v>
      </c>
      <c r="L3" s="679"/>
      <c r="M3" s="679">
        <v>134</v>
      </c>
      <c r="N3" s="679"/>
    </row>
    <row r="4" spans="2:14" ht="12.75">
      <c r="B4" s="689"/>
      <c r="C4" s="689"/>
      <c r="D4" s="689"/>
      <c r="E4" s="689"/>
      <c r="F4" s="689"/>
      <c r="G4" s="689"/>
      <c r="H4" s="689"/>
      <c r="I4" s="689"/>
      <c r="J4" s="689"/>
      <c r="K4" s="679"/>
      <c r="L4" s="679"/>
      <c r="M4" s="679"/>
      <c r="N4" s="679"/>
    </row>
    <row r="5" spans="2:14" ht="12.75">
      <c r="B5" s="689"/>
      <c r="C5" s="689"/>
      <c r="D5" s="689"/>
      <c r="E5" s="689"/>
      <c r="F5" s="689"/>
      <c r="G5" s="689"/>
      <c r="H5" s="689"/>
      <c r="I5" s="689"/>
      <c r="J5" s="689"/>
      <c r="K5" s="679"/>
      <c r="L5" s="679"/>
      <c r="M5" s="679"/>
      <c r="N5" s="679"/>
    </row>
    <row r="6" spans="2:14" ht="12.75">
      <c r="B6" s="689"/>
      <c r="C6" s="689"/>
      <c r="D6" s="689"/>
      <c r="E6" s="689"/>
      <c r="F6" s="689"/>
      <c r="G6" s="689"/>
      <c r="H6" s="689"/>
      <c r="I6" s="689"/>
      <c r="J6" s="689"/>
      <c r="K6" s="679"/>
      <c r="L6" s="679"/>
      <c r="M6" s="679"/>
      <c r="N6" s="679"/>
    </row>
    <row r="7" spans="2:14" ht="12.75">
      <c r="B7" s="689"/>
      <c r="C7" s="689"/>
      <c r="D7" s="689"/>
      <c r="E7" s="689"/>
      <c r="F7" s="689"/>
      <c r="G7" s="689"/>
      <c r="H7" s="689"/>
      <c r="I7" s="689"/>
      <c r="J7" s="689"/>
      <c r="K7" s="679"/>
      <c r="L7" s="679"/>
      <c r="M7" s="679"/>
      <c r="N7" s="679"/>
    </row>
    <row r="8" spans="2:14" ht="12.75">
      <c r="B8" s="689"/>
      <c r="C8" s="689"/>
      <c r="D8" s="689"/>
      <c r="E8" s="689"/>
      <c r="F8" s="689"/>
      <c r="G8" s="689"/>
      <c r="H8" s="689"/>
      <c r="I8" s="689"/>
      <c r="J8" s="689"/>
      <c r="K8" s="679"/>
      <c r="L8" s="679"/>
      <c r="M8" s="679"/>
      <c r="N8" s="679"/>
    </row>
    <row r="9" spans="2:14" ht="12.75">
      <c r="B9" s="689"/>
      <c r="C9" s="689"/>
      <c r="D9" s="689"/>
      <c r="E9" s="689"/>
      <c r="F9" s="689"/>
      <c r="G9" s="689"/>
      <c r="H9" s="689"/>
      <c r="I9" s="689"/>
      <c r="J9" s="689"/>
      <c r="K9" s="679"/>
      <c r="L9" s="679"/>
      <c r="M9" s="679"/>
      <c r="N9" s="679"/>
    </row>
    <row r="10" spans="2:14" ht="12.75">
      <c r="B10" s="689"/>
      <c r="C10" s="689"/>
      <c r="D10" s="689"/>
      <c r="E10" s="689"/>
      <c r="F10" s="689"/>
      <c r="G10" s="689"/>
      <c r="H10" s="689"/>
      <c r="I10" s="689"/>
      <c r="J10" s="689"/>
      <c r="K10" s="679"/>
      <c r="L10" s="679"/>
      <c r="M10" s="679"/>
      <c r="N10" s="679"/>
    </row>
    <row r="11" spans="2:14" ht="12.75">
      <c r="B11" s="689"/>
      <c r="C11" s="689"/>
      <c r="D11" s="689"/>
      <c r="E11" s="689"/>
      <c r="F11" s="689"/>
      <c r="G11" s="689"/>
      <c r="H11" s="689"/>
      <c r="I11" s="689"/>
      <c r="J11" s="689"/>
      <c r="K11" s="679"/>
      <c r="L11" s="679"/>
      <c r="M11" s="679"/>
      <c r="N11" s="679"/>
    </row>
    <row r="12" spans="2:14" ht="12.75">
      <c r="B12" s="688" t="s">
        <v>231</v>
      </c>
      <c r="C12" s="688"/>
      <c r="D12" s="688"/>
      <c r="E12" s="688"/>
      <c r="F12" s="688"/>
      <c r="G12" s="688"/>
      <c r="H12" s="688"/>
      <c r="I12" s="688"/>
      <c r="J12" s="688"/>
      <c r="K12" s="677">
        <f>SUM(K3:L11)</f>
        <v>128</v>
      </c>
      <c r="L12" s="677"/>
      <c r="M12" s="677">
        <f>SUM(M3:N11)</f>
        <v>134</v>
      </c>
      <c r="N12" s="677"/>
    </row>
    <row r="13" spans="2:14" ht="14.25">
      <c r="B13" s="683" t="s">
        <v>628</v>
      </c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</row>
    <row r="14" spans="2:14" ht="12.75">
      <c r="B14" s="687" t="s">
        <v>629</v>
      </c>
      <c r="C14" s="687"/>
      <c r="D14" s="687"/>
      <c r="E14" s="687"/>
      <c r="F14" s="739" t="s">
        <v>625</v>
      </c>
      <c r="G14" s="739"/>
      <c r="H14" s="739"/>
      <c r="I14" s="739"/>
      <c r="J14" s="739"/>
      <c r="K14" s="701" t="str">
        <f>НАЧАЛО!AD1&amp;" г."</f>
        <v>30.9.2010 г.</v>
      </c>
      <c r="L14" s="701"/>
      <c r="M14" s="701" t="str">
        <f>НАЧАЛО!AF1&amp;" г."</f>
        <v>30.9.2009 г.</v>
      </c>
      <c r="N14" s="701"/>
    </row>
    <row r="15" spans="2:14" ht="12.75">
      <c r="B15" s="689" t="s">
        <v>626</v>
      </c>
      <c r="C15" s="689"/>
      <c r="D15" s="689"/>
      <c r="E15" s="689"/>
      <c r="F15" s="689" t="s">
        <v>630</v>
      </c>
      <c r="G15" s="689"/>
      <c r="H15" s="689"/>
      <c r="I15" s="689"/>
      <c r="J15" s="689"/>
      <c r="K15" s="679">
        <v>367</v>
      </c>
      <c r="L15" s="679"/>
      <c r="M15" s="679">
        <v>443</v>
      </c>
      <c r="N15" s="679"/>
    </row>
    <row r="16" spans="2:14" ht="12.75">
      <c r="B16" s="689"/>
      <c r="C16" s="689"/>
      <c r="D16" s="689"/>
      <c r="E16" s="689"/>
      <c r="F16" s="689"/>
      <c r="G16" s="689"/>
      <c r="H16" s="689"/>
      <c r="I16" s="689"/>
      <c r="J16" s="689"/>
      <c r="K16" s="679"/>
      <c r="L16" s="679"/>
      <c r="M16" s="679"/>
      <c r="N16" s="679"/>
    </row>
    <row r="17" spans="2:14" ht="12.75">
      <c r="B17" s="689"/>
      <c r="C17" s="689"/>
      <c r="D17" s="689"/>
      <c r="E17" s="689"/>
      <c r="F17" s="689"/>
      <c r="G17" s="689"/>
      <c r="H17" s="689"/>
      <c r="I17" s="689"/>
      <c r="J17" s="689"/>
      <c r="K17" s="679"/>
      <c r="L17" s="679"/>
      <c r="M17" s="679"/>
      <c r="N17" s="679"/>
    </row>
    <row r="18" spans="2:14" ht="12.75">
      <c r="B18" s="689"/>
      <c r="C18" s="689"/>
      <c r="D18" s="689"/>
      <c r="E18" s="689"/>
      <c r="F18" s="689"/>
      <c r="G18" s="689"/>
      <c r="H18" s="689"/>
      <c r="I18" s="689"/>
      <c r="J18" s="689"/>
      <c r="K18" s="679"/>
      <c r="L18" s="679"/>
      <c r="M18" s="679"/>
      <c r="N18" s="679"/>
    </row>
    <row r="19" spans="2:14" ht="12.75">
      <c r="B19" s="689"/>
      <c r="C19" s="689"/>
      <c r="D19" s="689"/>
      <c r="E19" s="689"/>
      <c r="F19" s="689"/>
      <c r="G19" s="689"/>
      <c r="H19" s="689"/>
      <c r="I19" s="689"/>
      <c r="J19" s="689"/>
      <c r="K19" s="679"/>
      <c r="L19" s="679"/>
      <c r="M19" s="679"/>
      <c r="N19" s="679"/>
    </row>
    <row r="20" spans="2:14" ht="12.75">
      <c r="B20" s="689"/>
      <c r="C20" s="689"/>
      <c r="D20" s="689"/>
      <c r="E20" s="689"/>
      <c r="F20" s="689"/>
      <c r="G20" s="689"/>
      <c r="H20" s="689"/>
      <c r="I20" s="689"/>
      <c r="J20" s="689"/>
      <c r="K20" s="679"/>
      <c r="L20" s="679"/>
      <c r="M20" s="679"/>
      <c r="N20" s="679"/>
    </row>
    <row r="21" spans="2:14" ht="12.75">
      <c r="B21" s="689"/>
      <c r="C21" s="689"/>
      <c r="D21" s="689"/>
      <c r="E21" s="689"/>
      <c r="F21" s="689"/>
      <c r="G21" s="689"/>
      <c r="H21" s="689"/>
      <c r="I21" s="689"/>
      <c r="J21" s="689"/>
      <c r="K21" s="679"/>
      <c r="L21" s="679"/>
      <c r="M21" s="679"/>
      <c r="N21" s="679"/>
    </row>
    <row r="22" spans="2:14" ht="12.75">
      <c r="B22" s="689"/>
      <c r="C22" s="689"/>
      <c r="D22" s="689"/>
      <c r="E22" s="689"/>
      <c r="F22" s="689"/>
      <c r="G22" s="689"/>
      <c r="H22" s="689"/>
      <c r="I22" s="689"/>
      <c r="J22" s="689"/>
      <c r="K22" s="679"/>
      <c r="L22" s="679"/>
      <c r="M22" s="679"/>
      <c r="N22" s="679"/>
    </row>
    <row r="23" spans="2:14" ht="12.75">
      <c r="B23" s="689"/>
      <c r="C23" s="689"/>
      <c r="D23" s="689"/>
      <c r="E23" s="689"/>
      <c r="F23" s="689"/>
      <c r="G23" s="689"/>
      <c r="H23" s="689"/>
      <c r="I23" s="689"/>
      <c r="J23" s="689"/>
      <c r="K23" s="679"/>
      <c r="L23" s="679"/>
      <c r="M23" s="679"/>
      <c r="N23" s="679"/>
    </row>
    <row r="24" spans="2:14" ht="12.75">
      <c r="B24" s="688" t="s">
        <v>231</v>
      </c>
      <c r="C24" s="688"/>
      <c r="D24" s="688"/>
      <c r="E24" s="688"/>
      <c r="F24" s="688"/>
      <c r="G24" s="688"/>
      <c r="H24" s="688"/>
      <c r="I24" s="688"/>
      <c r="J24" s="688"/>
      <c r="K24" s="677">
        <f>SUM(K15:L23)</f>
        <v>367</v>
      </c>
      <c r="L24" s="677"/>
      <c r="M24" s="677">
        <f>SUM(M15:N23)</f>
        <v>443</v>
      </c>
      <c r="N24" s="677"/>
    </row>
    <row r="26" spans="2:14" ht="14.25">
      <c r="B26" s="683" t="s">
        <v>631</v>
      </c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</row>
    <row r="27" spans="2:14" ht="12.75">
      <c r="B27" s="687" t="s">
        <v>624</v>
      </c>
      <c r="C27" s="687"/>
      <c r="D27" s="687"/>
      <c r="E27" s="687"/>
      <c r="F27" s="687"/>
      <c r="G27" s="736" t="str">
        <f>CONCATENATE(НАЧАЛО!AA1,".",НАЧАЛО!AB1,".",НАЧАЛО!AC1," г.")</f>
        <v>30.9.2010 г.</v>
      </c>
      <c r="H27" s="736"/>
      <c r="I27" s="687" t="s">
        <v>632</v>
      </c>
      <c r="J27" s="687"/>
      <c r="K27" s="687" t="str">
        <f>CONCATENATE("31.12.",НАЧАЛО!AC1-1," г.")</f>
        <v>31.12.2009 г.</v>
      </c>
      <c r="L27" s="687"/>
      <c r="M27" s="687" t="s">
        <v>632</v>
      </c>
      <c r="N27" s="687"/>
    </row>
    <row r="28" spans="2:14" ht="12.75">
      <c r="B28" s="689" t="s">
        <v>626</v>
      </c>
      <c r="C28" s="689"/>
      <c r="D28" s="689"/>
      <c r="E28" s="689"/>
      <c r="F28" s="689"/>
      <c r="G28" s="679">
        <v>1266</v>
      </c>
      <c r="H28" s="679"/>
      <c r="I28" s="689"/>
      <c r="J28" s="689"/>
      <c r="K28" s="679">
        <v>1141</v>
      </c>
      <c r="L28" s="679"/>
      <c r="M28" s="689"/>
      <c r="N28" s="689"/>
    </row>
    <row r="29" spans="2:14" ht="12.75">
      <c r="B29" s="689" t="s">
        <v>276</v>
      </c>
      <c r="C29" s="689"/>
      <c r="D29" s="689"/>
      <c r="E29" s="689"/>
      <c r="F29" s="689"/>
      <c r="G29" s="679">
        <v>7</v>
      </c>
      <c r="H29" s="679"/>
      <c r="I29" s="689"/>
      <c r="J29" s="689"/>
      <c r="K29" s="679">
        <v>7</v>
      </c>
      <c r="L29" s="679"/>
      <c r="M29" s="689"/>
      <c r="N29" s="689"/>
    </row>
    <row r="30" spans="2:14" ht="12.75">
      <c r="B30" s="689"/>
      <c r="C30" s="689"/>
      <c r="D30" s="689"/>
      <c r="E30" s="689"/>
      <c r="F30" s="689"/>
      <c r="G30" s="679"/>
      <c r="H30" s="679"/>
      <c r="I30" s="689"/>
      <c r="J30" s="689"/>
      <c r="K30" s="679"/>
      <c r="L30" s="679"/>
      <c r="M30" s="689"/>
      <c r="N30" s="689"/>
    </row>
    <row r="31" spans="2:14" ht="12.75">
      <c r="B31" s="689"/>
      <c r="C31" s="689"/>
      <c r="D31" s="689"/>
      <c r="E31" s="689"/>
      <c r="F31" s="689"/>
      <c r="G31" s="679"/>
      <c r="H31" s="679"/>
      <c r="I31" s="689"/>
      <c r="J31" s="689"/>
      <c r="K31" s="679"/>
      <c r="L31" s="679"/>
      <c r="M31" s="689"/>
      <c r="N31" s="689"/>
    </row>
    <row r="32" spans="2:14" ht="12.75">
      <c r="B32" s="689"/>
      <c r="C32" s="689"/>
      <c r="D32" s="689"/>
      <c r="E32" s="689"/>
      <c r="F32" s="689"/>
      <c r="G32" s="679"/>
      <c r="H32" s="679"/>
      <c r="I32" s="689"/>
      <c r="J32" s="689"/>
      <c r="K32" s="679"/>
      <c r="L32" s="679"/>
      <c r="M32" s="689"/>
      <c r="N32" s="689"/>
    </row>
    <row r="33" spans="2:14" ht="12.75">
      <c r="B33" s="689"/>
      <c r="C33" s="689"/>
      <c r="D33" s="689"/>
      <c r="E33" s="689"/>
      <c r="F33" s="689"/>
      <c r="G33" s="679"/>
      <c r="H33" s="679"/>
      <c r="I33" s="689"/>
      <c r="J33" s="689"/>
      <c r="K33" s="679"/>
      <c r="L33" s="679"/>
      <c r="M33" s="689"/>
      <c r="N33" s="689"/>
    </row>
    <row r="34" spans="2:14" ht="12.75">
      <c r="B34" s="689"/>
      <c r="C34" s="689"/>
      <c r="D34" s="689"/>
      <c r="E34" s="689"/>
      <c r="F34" s="689"/>
      <c r="G34" s="679"/>
      <c r="H34" s="679"/>
      <c r="I34" s="689"/>
      <c r="J34" s="689"/>
      <c r="K34" s="679"/>
      <c r="L34" s="679"/>
      <c r="M34" s="689"/>
      <c r="N34" s="689"/>
    </row>
    <row r="35" spans="2:14" ht="12.75">
      <c r="B35" s="689"/>
      <c r="C35" s="689"/>
      <c r="D35" s="689"/>
      <c r="E35" s="689"/>
      <c r="F35" s="689"/>
      <c r="G35" s="679"/>
      <c r="H35" s="679"/>
      <c r="I35" s="689"/>
      <c r="J35" s="689"/>
      <c r="K35" s="679"/>
      <c r="L35" s="679"/>
      <c r="M35" s="689"/>
      <c r="N35" s="689"/>
    </row>
    <row r="36" spans="2:14" ht="12.75">
      <c r="B36" s="689"/>
      <c r="C36" s="689"/>
      <c r="D36" s="689"/>
      <c r="E36" s="689"/>
      <c r="F36" s="689"/>
      <c r="G36" s="679"/>
      <c r="H36" s="679"/>
      <c r="I36" s="689"/>
      <c r="J36" s="689"/>
      <c r="K36" s="679"/>
      <c r="L36" s="679"/>
      <c r="M36" s="689"/>
      <c r="N36" s="689"/>
    </row>
    <row r="37" spans="2:14" ht="12.75">
      <c r="B37" s="689"/>
      <c r="C37" s="689"/>
      <c r="D37" s="689"/>
      <c r="E37" s="689"/>
      <c r="F37" s="689"/>
      <c r="G37" s="679"/>
      <c r="H37" s="679"/>
      <c r="I37" s="689"/>
      <c r="J37" s="689"/>
      <c r="K37" s="679"/>
      <c r="L37" s="679"/>
      <c r="M37" s="689"/>
      <c r="N37" s="689"/>
    </row>
    <row r="38" spans="2:14" ht="12.75">
      <c r="B38" s="688"/>
      <c r="C38" s="688"/>
      <c r="D38" s="688"/>
      <c r="E38" s="688"/>
      <c r="F38" s="688"/>
      <c r="G38" s="677">
        <f>SUM(G28:H37)</f>
        <v>1273</v>
      </c>
      <c r="H38" s="677"/>
      <c r="I38" s="688"/>
      <c r="J38" s="688"/>
      <c r="K38" s="677">
        <f>SUM(K28:L37)</f>
        <v>1148</v>
      </c>
      <c r="L38" s="677"/>
      <c r="M38" s="688"/>
      <c r="N38" s="688"/>
    </row>
    <row r="39" spans="2:14" ht="14.25">
      <c r="B39" s="683" t="s">
        <v>633</v>
      </c>
      <c r="C39" s="683"/>
      <c r="D39" s="683"/>
      <c r="E39" s="683"/>
      <c r="F39" s="683"/>
      <c r="G39" s="683"/>
      <c r="H39" s="683"/>
      <c r="I39" s="683"/>
      <c r="J39" s="683"/>
      <c r="K39" s="683"/>
      <c r="L39" s="683"/>
      <c r="M39" s="683"/>
      <c r="N39" s="683"/>
    </row>
    <row r="40" spans="2:14" ht="12.75">
      <c r="B40" s="687" t="s">
        <v>629</v>
      </c>
      <c r="C40" s="687"/>
      <c r="D40" s="687"/>
      <c r="E40" s="687"/>
      <c r="F40" s="687"/>
      <c r="G40" s="691" t="str">
        <f>G27</f>
        <v>30.9.2010 г.</v>
      </c>
      <c r="H40" s="691"/>
      <c r="I40" s="687" t="s">
        <v>632</v>
      </c>
      <c r="J40" s="687"/>
      <c r="K40" s="691" t="str">
        <f>K27</f>
        <v>31.12.2009 г.</v>
      </c>
      <c r="L40" s="691"/>
      <c r="M40" s="687" t="s">
        <v>632</v>
      </c>
      <c r="N40" s="687"/>
    </row>
    <row r="41" spans="2:14" ht="12.75">
      <c r="B41" s="689" t="s">
        <v>626</v>
      </c>
      <c r="C41" s="689"/>
      <c r="D41" s="689"/>
      <c r="E41" s="689"/>
      <c r="F41" s="689"/>
      <c r="G41" s="679">
        <v>203</v>
      </c>
      <c r="H41" s="679"/>
      <c r="I41" s="689"/>
      <c r="J41" s="689"/>
      <c r="K41" s="679">
        <v>66</v>
      </c>
      <c r="L41" s="679"/>
      <c r="M41" s="689"/>
      <c r="N41" s="689"/>
    </row>
    <row r="42" spans="2:14" ht="12.75">
      <c r="B42" s="689"/>
      <c r="C42" s="689"/>
      <c r="D42" s="689"/>
      <c r="E42" s="689"/>
      <c r="F42" s="689"/>
      <c r="G42" s="679"/>
      <c r="H42" s="679"/>
      <c r="I42" s="689"/>
      <c r="J42" s="689"/>
      <c r="K42" s="679"/>
      <c r="L42" s="679"/>
      <c r="M42" s="689"/>
      <c r="N42" s="689"/>
    </row>
    <row r="43" spans="2:14" ht="12.75">
      <c r="B43" s="689"/>
      <c r="C43" s="689"/>
      <c r="D43" s="689"/>
      <c r="E43" s="689"/>
      <c r="F43" s="689"/>
      <c r="G43" s="679"/>
      <c r="H43" s="679"/>
      <c r="I43" s="689"/>
      <c r="J43" s="689"/>
      <c r="K43" s="679"/>
      <c r="L43" s="679"/>
      <c r="M43" s="689"/>
      <c r="N43" s="689"/>
    </row>
    <row r="44" spans="2:14" ht="12.75">
      <c r="B44" s="689"/>
      <c r="C44" s="689"/>
      <c r="D44" s="689"/>
      <c r="E44" s="689"/>
      <c r="F44" s="689"/>
      <c r="G44" s="679"/>
      <c r="H44" s="679"/>
      <c r="I44" s="689"/>
      <c r="J44" s="689"/>
      <c r="K44" s="679"/>
      <c r="L44" s="679"/>
      <c r="M44" s="689"/>
      <c r="N44" s="689"/>
    </row>
    <row r="45" spans="2:14" ht="12.75">
      <c r="B45" s="689"/>
      <c r="C45" s="689"/>
      <c r="D45" s="689"/>
      <c r="E45" s="689"/>
      <c r="F45" s="689"/>
      <c r="G45" s="679"/>
      <c r="H45" s="679"/>
      <c r="I45" s="689"/>
      <c r="J45" s="689"/>
      <c r="K45" s="679"/>
      <c r="L45" s="679"/>
      <c r="M45" s="689"/>
      <c r="N45" s="689"/>
    </row>
    <row r="46" spans="2:14" ht="12.75">
      <c r="B46" s="689"/>
      <c r="C46" s="689"/>
      <c r="D46" s="689"/>
      <c r="E46" s="689"/>
      <c r="F46" s="689"/>
      <c r="G46" s="679"/>
      <c r="H46" s="679"/>
      <c r="I46" s="689"/>
      <c r="J46" s="689"/>
      <c r="K46" s="679"/>
      <c r="L46" s="679"/>
      <c r="M46" s="689"/>
      <c r="N46" s="689"/>
    </row>
    <row r="47" spans="2:14" ht="12.75">
      <c r="B47" s="689"/>
      <c r="C47" s="689"/>
      <c r="D47" s="689"/>
      <c r="E47" s="689"/>
      <c r="F47" s="689"/>
      <c r="G47" s="679"/>
      <c r="H47" s="679"/>
      <c r="I47" s="689"/>
      <c r="J47" s="689"/>
      <c r="K47" s="679"/>
      <c r="L47" s="679"/>
      <c r="M47" s="689"/>
      <c r="N47" s="689"/>
    </row>
    <row r="48" spans="2:14" ht="12.75">
      <c r="B48" s="689"/>
      <c r="C48" s="689"/>
      <c r="D48" s="689"/>
      <c r="E48" s="689"/>
      <c r="F48" s="689"/>
      <c r="G48" s="679"/>
      <c r="H48" s="679"/>
      <c r="I48" s="689"/>
      <c r="J48" s="689"/>
      <c r="K48" s="679"/>
      <c r="L48" s="679"/>
      <c r="M48" s="689"/>
      <c r="N48" s="689"/>
    </row>
    <row r="49" spans="2:14" ht="12.75">
      <c r="B49" s="689"/>
      <c r="C49" s="689"/>
      <c r="D49" s="689"/>
      <c r="E49" s="689"/>
      <c r="F49" s="689"/>
      <c r="G49" s="679"/>
      <c r="H49" s="679"/>
      <c r="I49" s="689"/>
      <c r="J49" s="689"/>
      <c r="K49" s="679"/>
      <c r="L49" s="679"/>
      <c r="M49" s="689"/>
      <c r="N49" s="689"/>
    </row>
    <row r="50" spans="2:14" ht="12.75">
      <c r="B50" s="689"/>
      <c r="C50" s="689"/>
      <c r="D50" s="689"/>
      <c r="E50" s="689"/>
      <c r="F50" s="689"/>
      <c r="G50" s="679"/>
      <c r="H50" s="679"/>
      <c r="I50" s="689"/>
      <c r="J50" s="689"/>
      <c r="K50" s="679"/>
      <c r="L50" s="679"/>
      <c r="M50" s="689"/>
      <c r="N50" s="689"/>
    </row>
    <row r="51" spans="2:14" ht="12.75">
      <c r="B51" s="688"/>
      <c r="C51" s="688"/>
      <c r="D51" s="688"/>
      <c r="E51" s="688"/>
      <c r="F51" s="688"/>
      <c r="G51" s="677">
        <f>SUM(G40:H50)</f>
        <v>203</v>
      </c>
      <c r="H51" s="677"/>
      <c r="I51" s="688"/>
      <c r="J51" s="688"/>
      <c r="K51" s="677">
        <f>SUM(K40:L50)</f>
        <v>66</v>
      </c>
      <c r="L51" s="677"/>
      <c r="M51" s="688"/>
      <c r="N51" s="688"/>
    </row>
    <row r="53" spans="2:14" ht="14.25">
      <c r="B53" s="686" t="s">
        <v>634</v>
      </c>
      <c r="C53" s="686"/>
      <c r="D53" s="686"/>
      <c r="E53" s="686"/>
      <c r="F53" s="686"/>
      <c r="G53" s="686"/>
      <c r="H53" s="686"/>
      <c r="I53" s="686"/>
      <c r="J53" s="686"/>
      <c r="K53" s="686"/>
      <c r="L53" s="686"/>
      <c r="M53" s="686"/>
      <c r="N53" s="686"/>
    </row>
    <row r="54" spans="2:14" ht="12.75">
      <c r="B54" s="687" t="s">
        <v>301</v>
      </c>
      <c r="C54" s="687"/>
      <c r="D54" s="687"/>
      <c r="E54" s="687"/>
      <c r="F54" s="687"/>
      <c r="G54" s="414" t="s">
        <v>302</v>
      </c>
      <c r="H54" s="414" t="s">
        <v>303</v>
      </c>
      <c r="I54" s="414" t="s">
        <v>304</v>
      </c>
      <c r="J54" s="687" t="s">
        <v>305</v>
      </c>
      <c r="K54" s="687"/>
      <c r="L54" s="687"/>
      <c r="M54" s="687"/>
      <c r="N54" s="687"/>
    </row>
    <row r="55" spans="2:14" ht="12.75">
      <c r="B55" s="689" t="s">
        <v>626</v>
      </c>
      <c r="C55" s="689"/>
      <c r="D55" s="689"/>
      <c r="E55" s="689"/>
      <c r="F55" s="689"/>
      <c r="G55" s="308" t="s">
        <v>635</v>
      </c>
      <c r="H55" s="415">
        <v>0.11</v>
      </c>
      <c r="I55" s="308"/>
      <c r="J55" s="724"/>
      <c r="K55" s="724"/>
      <c r="L55" s="724"/>
      <c r="M55" s="724"/>
      <c r="N55" s="724"/>
    </row>
    <row r="56" spans="2:14" ht="12.75">
      <c r="B56" s="724"/>
      <c r="C56" s="724"/>
      <c r="D56" s="724"/>
      <c r="E56" s="724"/>
      <c r="F56" s="724"/>
      <c r="G56" s="308"/>
      <c r="H56" s="415"/>
      <c r="I56" s="308"/>
      <c r="J56" s="724"/>
      <c r="K56" s="724"/>
      <c r="L56" s="724"/>
      <c r="M56" s="724"/>
      <c r="N56" s="724"/>
    </row>
    <row r="57" spans="2:14" ht="12.75">
      <c r="B57" s="724"/>
      <c r="C57" s="724"/>
      <c r="D57" s="724"/>
      <c r="E57" s="724"/>
      <c r="F57" s="724"/>
      <c r="G57" s="308"/>
      <c r="H57" s="415"/>
      <c r="I57" s="308"/>
      <c r="J57" s="724"/>
      <c r="K57" s="724"/>
      <c r="L57" s="724"/>
      <c r="M57" s="724"/>
      <c r="N57" s="724"/>
    </row>
    <row r="58" spans="2:14" ht="12.75">
      <c r="B58" s="724"/>
      <c r="C58" s="724"/>
      <c r="D58" s="724"/>
      <c r="E58" s="724"/>
      <c r="F58" s="724"/>
      <c r="G58" s="308"/>
      <c r="H58" s="415"/>
      <c r="I58" s="308"/>
      <c r="J58" s="724"/>
      <c r="K58" s="724"/>
      <c r="L58" s="724"/>
      <c r="M58" s="724"/>
      <c r="N58" s="724"/>
    </row>
    <row r="59" spans="2:14" ht="12.75">
      <c r="B59" s="724"/>
      <c r="C59" s="724"/>
      <c r="D59" s="724"/>
      <c r="E59" s="724"/>
      <c r="F59" s="724"/>
      <c r="G59" s="308"/>
      <c r="H59" s="415"/>
      <c r="I59" s="308"/>
      <c r="J59" s="724"/>
      <c r="K59" s="724"/>
      <c r="L59" s="724"/>
      <c r="M59" s="724"/>
      <c r="N59" s="724"/>
    </row>
    <row r="60" spans="2:14" ht="12.75">
      <c r="B60" s="724"/>
      <c r="C60" s="724"/>
      <c r="D60" s="724"/>
      <c r="E60" s="724"/>
      <c r="F60" s="724"/>
      <c r="G60" s="308"/>
      <c r="H60" s="415"/>
      <c r="I60" s="308"/>
      <c r="J60" s="724"/>
      <c r="K60" s="724"/>
      <c r="L60" s="724"/>
      <c r="M60" s="724"/>
      <c r="N60" s="724"/>
    </row>
    <row r="61" spans="2:14" ht="12.75">
      <c r="B61" s="724"/>
      <c r="C61" s="724"/>
      <c r="D61" s="724"/>
      <c r="E61" s="724"/>
      <c r="F61" s="724"/>
      <c r="G61" s="308"/>
      <c r="H61" s="415"/>
      <c r="I61" s="308"/>
      <c r="J61" s="724"/>
      <c r="K61" s="724"/>
      <c r="L61" s="724"/>
      <c r="M61" s="724"/>
      <c r="N61" s="724"/>
    </row>
    <row r="62" spans="2:14" ht="12.75">
      <c r="B62" s="724"/>
      <c r="C62" s="724"/>
      <c r="D62" s="724"/>
      <c r="E62" s="724"/>
      <c r="F62" s="724"/>
      <c r="G62" s="308"/>
      <c r="H62" s="415"/>
      <c r="I62" s="308"/>
      <c r="J62" s="724"/>
      <c r="K62" s="724"/>
      <c r="L62" s="724"/>
      <c r="M62" s="724"/>
      <c r="N62" s="724"/>
    </row>
    <row r="63" spans="2:14" ht="12.75">
      <c r="B63" s="724"/>
      <c r="C63" s="724"/>
      <c r="D63" s="724"/>
      <c r="E63" s="724"/>
      <c r="F63" s="724"/>
      <c r="G63" s="308"/>
      <c r="H63" s="415"/>
      <c r="I63" s="308"/>
      <c r="J63" s="724"/>
      <c r="K63" s="724"/>
      <c r="L63" s="724"/>
      <c r="M63" s="724"/>
      <c r="N63" s="724"/>
    </row>
    <row r="64" spans="2:14" ht="12.75">
      <c r="B64" s="724"/>
      <c r="C64" s="724"/>
      <c r="D64" s="724"/>
      <c r="E64" s="724"/>
      <c r="F64" s="724"/>
      <c r="G64" s="308"/>
      <c r="H64" s="415"/>
      <c r="I64" s="308"/>
      <c r="J64" s="724"/>
      <c r="K64" s="724"/>
      <c r="L64" s="724"/>
      <c r="M64" s="724"/>
      <c r="N64" s="724"/>
    </row>
    <row r="65" spans="2:14" ht="14.25">
      <c r="B65" s="683" t="s">
        <v>636</v>
      </c>
      <c r="C65" s="683"/>
      <c r="D65" s="683"/>
      <c r="E65" s="683"/>
      <c r="F65" s="683"/>
      <c r="G65" s="683"/>
      <c r="H65" s="683"/>
      <c r="I65" s="683"/>
      <c r="J65" s="683"/>
      <c r="K65" s="683"/>
      <c r="L65" s="683"/>
      <c r="M65" s="683"/>
      <c r="N65" s="683"/>
    </row>
    <row r="66" spans="2:15" ht="12.75" customHeight="1">
      <c r="B66" s="684" t="s">
        <v>301</v>
      </c>
      <c r="C66" s="684"/>
      <c r="D66" s="684"/>
      <c r="E66" s="684"/>
      <c r="F66" s="684"/>
      <c r="G66" s="684"/>
      <c r="H66" s="684"/>
      <c r="I66" s="684"/>
      <c r="J66" s="684"/>
      <c r="K66" s="685" t="s">
        <v>307</v>
      </c>
      <c r="L66" s="685"/>
      <c r="M66" s="685" t="s">
        <v>308</v>
      </c>
      <c r="N66" s="685"/>
      <c r="O66" s="413"/>
    </row>
    <row r="67" spans="2:15" ht="12.75">
      <c r="B67" s="684"/>
      <c r="C67" s="684"/>
      <c r="D67" s="684"/>
      <c r="E67" s="684"/>
      <c r="F67" s="684"/>
      <c r="G67" s="684"/>
      <c r="H67" s="684"/>
      <c r="I67" s="684"/>
      <c r="J67" s="684"/>
      <c r="K67" s="685"/>
      <c r="L67" s="685"/>
      <c r="M67" s="685"/>
      <c r="N67" s="685"/>
      <c r="O67" s="413"/>
    </row>
    <row r="68" spans="2:15" ht="12.75" customHeight="1">
      <c r="B68" s="724" t="s">
        <v>626</v>
      </c>
      <c r="C68" s="724"/>
      <c r="D68" s="724"/>
      <c r="E68" s="724"/>
      <c r="F68" s="724"/>
      <c r="G68" s="724"/>
      <c r="H68" s="724"/>
      <c r="I68" s="724"/>
      <c r="J68" s="724"/>
      <c r="K68" s="679">
        <v>290</v>
      </c>
      <c r="L68" s="679"/>
      <c r="M68" s="679">
        <v>502</v>
      </c>
      <c r="N68" s="679"/>
      <c r="O68" s="413"/>
    </row>
    <row r="69" spans="2:15" ht="12.75">
      <c r="B69" s="724"/>
      <c r="C69" s="724"/>
      <c r="D69" s="724"/>
      <c r="E69" s="724"/>
      <c r="F69" s="724"/>
      <c r="G69" s="724"/>
      <c r="H69" s="724"/>
      <c r="I69" s="724"/>
      <c r="J69" s="724"/>
      <c r="K69" s="679"/>
      <c r="L69" s="679"/>
      <c r="M69" s="679"/>
      <c r="N69" s="679"/>
      <c r="O69" s="413"/>
    </row>
    <row r="70" spans="2:15" ht="12.75">
      <c r="B70" s="724"/>
      <c r="C70" s="724"/>
      <c r="D70" s="724"/>
      <c r="E70" s="724"/>
      <c r="F70" s="724"/>
      <c r="G70" s="724"/>
      <c r="H70" s="724"/>
      <c r="I70" s="724"/>
      <c r="J70" s="724"/>
      <c r="K70" s="679"/>
      <c r="L70" s="679"/>
      <c r="M70" s="679"/>
      <c r="N70" s="679"/>
      <c r="O70" s="413"/>
    </row>
    <row r="71" spans="2:15" ht="12.75">
      <c r="B71" s="724"/>
      <c r="C71" s="724"/>
      <c r="D71" s="724"/>
      <c r="E71" s="724"/>
      <c r="F71" s="724"/>
      <c r="G71" s="724"/>
      <c r="H71" s="724"/>
      <c r="I71" s="724"/>
      <c r="J71" s="724"/>
      <c r="K71" s="679"/>
      <c r="L71" s="679"/>
      <c r="M71" s="679"/>
      <c r="N71" s="679"/>
      <c r="O71" s="413"/>
    </row>
    <row r="72" spans="2:15" ht="12.75">
      <c r="B72" s="724"/>
      <c r="C72" s="724"/>
      <c r="D72" s="724"/>
      <c r="E72" s="724"/>
      <c r="F72" s="724"/>
      <c r="G72" s="724"/>
      <c r="H72" s="724"/>
      <c r="I72" s="724"/>
      <c r="J72" s="724"/>
      <c r="K72" s="679"/>
      <c r="L72" s="679"/>
      <c r="M72" s="679"/>
      <c r="N72" s="679"/>
      <c r="O72" s="413"/>
    </row>
    <row r="73" spans="2:15" ht="12.75">
      <c r="B73" s="724"/>
      <c r="C73" s="724"/>
      <c r="D73" s="724"/>
      <c r="E73" s="724"/>
      <c r="F73" s="724"/>
      <c r="G73" s="724"/>
      <c r="H73" s="724"/>
      <c r="I73" s="724"/>
      <c r="J73" s="724"/>
      <c r="K73" s="679"/>
      <c r="L73" s="679"/>
      <c r="M73" s="679"/>
      <c r="N73" s="679"/>
      <c r="O73" s="413"/>
    </row>
    <row r="74" spans="2:15" ht="12.75">
      <c r="B74" s="724"/>
      <c r="C74" s="724"/>
      <c r="D74" s="724"/>
      <c r="E74" s="724"/>
      <c r="F74" s="724"/>
      <c r="G74" s="724"/>
      <c r="H74" s="724"/>
      <c r="I74" s="724"/>
      <c r="J74" s="724"/>
      <c r="K74" s="679"/>
      <c r="L74" s="679"/>
      <c r="M74" s="679"/>
      <c r="N74" s="679"/>
      <c r="O74" s="413"/>
    </row>
    <row r="75" spans="2:15" ht="12.75">
      <c r="B75" s="724"/>
      <c r="C75" s="724"/>
      <c r="D75" s="724"/>
      <c r="E75" s="724"/>
      <c r="F75" s="724"/>
      <c r="G75" s="724"/>
      <c r="H75" s="724"/>
      <c r="I75" s="724"/>
      <c r="J75" s="724"/>
      <c r="K75" s="679"/>
      <c r="L75" s="679"/>
      <c r="M75" s="679"/>
      <c r="N75" s="679"/>
      <c r="O75" s="413"/>
    </row>
    <row r="76" spans="2:15" ht="12.75">
      <c r="B76" s="724"/>
      <c r="C76" s="724"/>
      <c r="D76" s="724"/>
      <c r="E76" s="724"/>
      <c r="F76" s="724"/>
      <c r="G76" s="724"/>
      <c r="H76" s="724"/>
      <c r="I76" s="724"/>
      <c r="J76" s="724"/>
      <c r="K76" s="679"/>
      <c r="L76" s="679"/>
      <c r="M76" s="679"/>
      <c r="N76" s="679"/>
      <c r="O76" s="413"/>
    </row>
    <row r="77" spans="2:14" ht="12.75">
      <c r="B77" s="724"/>
      <c r="C77" s="724"/>
      <c r="D77" s="724"/>
      <c r="E77" s="724"/>
      <c r="F77" s="724"/>
      <c r="G77" s="724"/>
      <c r="H77" s="724"/>
      <c r="I77" s="724"/>
      <c r="J77" s="724"/>
      <c r="K77" s="679"/>
      <c r="L77" s="679"/>
      <c r="M77" s="679"/>
      <c r="N77" s="679"/>
    </row>
    <row r="78" spans="2:14" ht="12.75" customHeight="1">
      <c r="B78" s="676" t="s">
        <v>231</v>
      </c>
      <c r="C78" s="676"/>
      <c r="D78" s="676"/>
      <c r="E78" s="676"/>
      <c r="F78" s="676"/>
      <c r="G78" s="676"/>
      <c r="H78" s="676"/>
      <c r="I78" s="676"/>
      <c r="J78" s="676"/>
      <c r="K78" s="677">
        <f>SUM(K68:L77)</f>
        <v>290</v>
      </c>
      <c r="L78" s="677"/>
      <c r="M78" s="677">
        <f>SUM(M68:N77)</f>
        <v>502</v>
      </c>
      <c r="N78" s="677"/>
    </row>
    <row r="79" spans="2:14" s="506" customFormat="1" ht="15">
      <c r="B79" s="692" t="s">
        <v>637</v>
      </c>
      <c r="C79" s="692"/>
      <c r="D79" s="692"/>
      <c r="E79" s="692"/>
      <c r="F79" s="692"/>
      <c r="G79" s="692"/>
      <c r="H79" s="692"/>
      <c r="I79" s="692"/>
      <c r="J79" s="692"/>
      <c r="K79" s="692"/>
      <c r="L79" s="692"/>
      <c r="M79" s="692"/>
      <c r="N79" s="692"/>
    </row>
    <row r="80" spans="2:14" ht="12.75">
      <c r="B80" s="684" t="s">
        <v>301</v>
      </c>
      <c r="C80" s="684"/>
      <c r="D80" s="684"/>
      <c r="E80" s="684"/>
      <c r="F80" s="684"/>
      <c r="G80" s="738" t="s">
        <v>638</v>
      </c>
      <c r="H80" s="738"/>
      <c r="I80" s="738" t="s">
        <v>639</v>
      </c>
      <c r="J80" s="738"/>
      <c r="K80" s="738" t="s">
        <v>640</v>
      </c>
      <c r="L80" s="738"/>
      <c r="M80" s="738" t="s">
        <v>638</v>
      </c>
      <c r="N80" s="738"/>
    </row>
    <row r="81" spans="2:14" ht="12.75">
      <c r="B81" s="684"/>
      <c r="C81" s="684"/>
      <c r="D81" s="684"/>
      <c r="E81" s="684"/>
      <c r="F81" s="684"/>
      <c r="G81" s="736" t="str">
        <f>CONCATENATE("31.12.",НАЧАЛО!AC1-1," г.")</f>
        <v>31.12.2009 г.</v>
      </c>
      <c r="H81" s="736"/>
      <c r="I81" s="736" t="str">
        <f>CONCATENATE("през ",НАЧАЛО!AC1," г.")</f>
        <v>през 2010 г.</v>
      </c>
      <c r="J81" s="736"/>
      <c r="K81" s="736" t="str">
        <f>I81</f>
        <v>през 2010 г.</v>
      </c>
      <c r="L81" s="736"/>
      <c r="M81" s="736" t="str">
        <f>CONCATENATE(НАЧАЛО!AA1,".",НАЧАЛО!AB1,".",НАЧАЛО!AC1," г.")</f>
        <v>30.9.2010 г.</v>
      </c>
      <c r="N81" s="736"/>
    </row>
    <row r="82" spans="2:14" ht="12.75">
      <c r="B82" s="689" t="s">
        <v>626</v>
      </c>
      <c r="C82" s="689"/>
      <c r="D82" s="689"/>
      <c r="E82" s="689"/>
      <c r="F82" s="689"/>
      <c r="G82" s="679">
        <v>882</v>
      </c>
      <c r="H82" s="679"/>
      <c r="I82" s="679">
        <v>98</v>
      </c>
      <c r="J82" s="679"/>
      <c r="K82" s="679"/>
      <c r="L82" s="679"/>
      <c r="M82" s="679">
        <v>980</v>
      </c>
      <c r="N82" s="679"/>
    </row>
    <row r="83" spans="2:14" ht="12.75">
      <c r="B83" s="689"/>
      <c r="C83" s="689"/>
      <c r="D83" s="689"/>
      <c r="E83" s="689"/>
      <c r="F83" s="689"/>
      <c r="G83" s="679"/>
      <c r="H83" s="679"/>
      <c r="I83" s="679"/>
      <c r="J83" s="679"/>
      <c r="K83" s="679"/>
      <c r="L83" s="679"/>
      <c r="M83" s="679"/>
      <c r="N83" s="679"/>
    </row>
    <row r="84" spans="2:14" ht="12.75">
      <c r="B84" s="689"/>
      <c r="C84" s="689"/>
      <c r="D84" s="689"/>
      <c r="E84" s="689"/>
      <c r="F84" s="689"/>
      <c r="G84" s="679"/>
      <c r="H84" s="679"/>
      <c r="I84" s="679"/>
      <c r="J84" s="679"/>
      <c r="K84" s="679"/>
      <c r="L84" s="679"/>
      <c r="M84" s="679"/>
      <c r="N84" s="679"/>
    </row>
    <row r="85" spans="2:14" ht="12.75">
      <c r="B85" s="689"/>
      <c r="C85" s="689"/>
      <c r="D85" s="689"/>
      <c r="E85" s="689"/>
      <c r="F85" s="689"/>
      <c r="G85" s="679"/>
      <c r="H85" s="679"/>
      <c r="I85" s="679"/>
      <c r="J85" s="679"/>
      <c r="K85" s="679"/>
      <c r="L85" s="679"/>
      <c r="M85" s="679"/>
      <c r="N85" s="679"/>
    </row>
    <row r="86" spans="2:14" ht="12.75">
      <c r="B86" s="689"/>
      <c r="C86" s="689"/>
      <c r="D86" s="689"/>
      <c r="E86" s="689"/>
      <c r="F86" s="689"/>
      <c r="G86" s="679"/>
      <c r="H86" s="679"/>
      <c r="I86" s="679"/>
      <c r="J86" s="679"/>
      <c r="K86" s="679"/>
      <c r="L86" s="679"/>
      <c r="M86" s="679"/>
      <c r="N86" s="679"/>
    </row>
    <row r="87" spans="2:14" ht="12.75">
      <c r="B87" s="689"/>
      <c r="C87" s="689"/>
      <c r="D87" s="689"/>
      <c r="E87" s="689"/>
      <c r="F87" s="689"/>
      <c r="G87" s="679"/>
      <c r="H87" s="679"/>
      <c r="I87" s="679"/>
      <c r="J87" s="679"/>
      <c r="K87" s="679"/>
      <c r="L87" s="679"/>
      <c r="M87" s="679"/>
      <c r="N87" s="679"/>
    </row>
    <row r="88" spans="2:14" ht="12.75">
      <c r="B88" s="689"/>
      <c r="C88" s="689"/>
      <c r="D88" s="689"/>
      <c r="E88" s="689"/>
      <c r="F88" s="689"/>
      <c r="G88" s="679"/>
      <c r="H88" s="679"/>
      <c r="I88" s="679"/>
      <c r="J88" s="679"/>
      <c r="K88" s="679"/>
      <c r="L88" s="679"/>
      <c r="M88" s="679"/>
      <c r="N88" s="679"/>
    </row>
    <row r="89" spans="2:14" ht="12.75">
      <c r="B89" s="689"/>
      <c r="C89" s="689"/>
      <c r="D89" s="689"/>
      <c r="E89" s="689"/>
      <c r="F89" s="689"/>
      <c r="G89" s="679"/>
      <c r="H89" s="679"/>
      <c r="I89" s="679"/>
      <c r="J89" s="679"/>
      <c r="K89" s="679"/>
      <c r="L89" s="679"/>
      <c r="M89" s="679"/>
      <c r="N89" s="679"/>
    </row>
    <row r="90" spans="2:14" ht="12.75">
      <c r="B90" s="689"/>
      <c r="C90" s="689"/>
      <c r="D90" s="689"/>
      <c r="E90" s="689"/>
      <c r="F90" s="689"/>
      <c r="G90" s="679"/>
      <c r="H90" s="679"/>
      <c r="I90" s="679"/>
      <c r="J90" s="679"/>
      <c r="K90" s="679"/>
      <c r="L90" s="679"/>
      <c r="M90" s="679"/>
      <c r="N90" s="679"/>
    </row>
    <row r="91" spans="2:14" ht="12.75">
      <c r="B91" s="689"/>
      <c r="C91" s="689"/>
      <c r="D91" s="689"/>
      <c r="E91" s="689"/>
      <c r="F91" s="689"/>
      <c r="G91" s="679"/>
      <c r="H91" s="679"/>
      <c r="I91" s="679"/>
      <c r="J91" s="679"/>
      <c r="K91" s="679"/>
      <c r="L91" s="679"/>
      <c r="M91" s="679"/>
      <c r="N91" s="679"/>
    </row>
    <row r="92" spans="2:14" ht="12.75">
      <c r="B92" s="688" t="s">
        <v>231</v>
      </c>
      <c r="C92" s="688"/>
      <c r="D92" s="688"/>
      <c r="E92" s="688"/>
      <c r="F92" s="688"/>
      <c r="G92" s="677">
        <f>SUM(G82:H91)</f>
        <v>882</v>
      </c>
      <c r="H92" s="677"/>
      <c r="I92" s="677">
        <f>SUM(I82:J91)</f>
        <v>98</v>
      </c>
      <c r="J92" s="677"/>
      <c r="K92" s="677">
        <f>SUM(K82:L91)</f>
        <v>0</v>
      </c>
      <c r="L92" s="677"/>
      <c r="M92" s="677">
        <f>SUM(M82:N91)</f>
        <v>980</v>
      </c>
      <c r="N92" s="677"/>
    </row>
    <row r="94" spans="2:14" ht="14.25">
      <c r="B94" s="686" t="s">
        <v>641</v>
      </c>
      <c r="C94" s="686"/>
      <c r="D94" s="686"/>
      <c r="E94" s="686"/>
      <c r="F94" s="686"/>
      <c r="G94" s="686"/>
      <c r="H94" s="686"/>
      <c r="I94" s="686"/>
      <c r="J94" s="686"/>
      <c r="K94" s="686"/>
      <c r="L94" s="686"/>
      <c r="M94" s="686"/>
      <c r="N94" s="686"/>
    </row>
    <row r="95" spans="2:14" ht="12.75">
      <c r="B95" s="687" t="s">
        <v>460</v>
      </c>
      <c r="C95" s="687"/>
      <c r="D95" s="687"/>
      <c r="E95" s="687"/>
      <c r="F95" s="687"/>
      <c r="G95" s="414" t="s">
        <v>302</v>
      </c>
      <c r="H95" s="414" t="s">
        <v>303</v>
      </c>
      <c r="I95" s="414" t="s">
        <v>304</v>
      </c>
      <c r="J95" s="687" t="s">
        <v>305</v>
      </c>
      <c r="K95" s="687"/>
      <c r="L95" s="687"/>
      <c r="M95" s="687"/>
      <c r="N95" s="687"/>
    </row>
    <row r="96" spans="2:14" ht="12.75">
      <c r="B96" s="724"/>
      <c r="C96" s="724"/>
      <c r="D96" s="724"/>
      <c r="E96" s="724"/>
      <c r="F96" s="724"/>
      <c r="G96" s="308"/>
      <c r="H96" s="415"/>
      <c r="I96" s="308"/>
      <c r="J96" s="724"/>
      <c r="K96" s="724"/>
      <c r="L96" s="724"/>
      <c r="M96" s="724"/>
      <c r="N96" s="724"/>
    </row>
    <row r="97" spans="2:14" ht="12.75">
      <c r="B97" s="724"/>
      <c r="C97" s="724"/>
      <c r="D97" s="724"/>
      <c r="E97" s="724"/>
      <c r="F97" s="724"/>
      <c r="G97" s="308"/>
      <c r="H97" s="415"/>
      <c r="I97" s="308"/>
      <c r="J97" s="724"/>
      <c r="K97" s="724"/>
      <c r="L97" s="724"/>
      <c r="M97" s="724"/>
      <c r="N97" s="724"/>
    </row>
    <row r="98" spans="2:14" ht="12.75">
      <c r="B98" s="724"/>
      <c r="C98" s="724"/>
      <c r="D98" s="724"/>
      <c r="E98" s="724"/>
      <c r="F98" s="724"/>
      <c r="G98" s="308"/>
      <c r="H98" s="415"/>
      <c r="I98" s="308"/>
      <c r="J98" s="724"/>
      <c r="K98" s="724"/>
      <c r="L98" s="724"/>
      <c r="M98" s="724"/>
      <c r="N98" s="724"/>
    </row>
    <row r="99" spans="2:14" ht="12.75">
      <c r="B99" s="724"/>
      <c r="C99" s="724"/>
      <c r="D99" s="724"/>
      <c r="E99" s="724"/>
      <c r="F99" s="724"/>
      <c r="G99" s="308"/>
      <c r="H99" s="415"/>
      <c r="I99" s="308"/>
      <c r="J99" s="724"/>
      <c r="K99" s="724"/>
      <c r="L99" s="724"/>
      <c r="M99" s="724"/>
      <c r="N99" s="724"/>
    </row>
    <row r="100" spans="2:14" ht="12.75">
      <c r="B100" s="724"/>
      <c r="C100" s="724"/>
      <c r="D100" s="724"/>
      <c r="E100" s="724"/>
      <c r="F100" s="724"/>
      <c r="G100" s="308"/>
      <c r="H100" s="415"/>
      <c r="I100" s="308"/>
      <c r="J100" s="724"/>
      <c r="K100" s="724"/>
      <c r="L100" s="724"/>
      <c r="M100" s="724"/>
      <c r="N100" s="724"/>
    </row>
    <row r="101" spans="2:14" ht="12.75">
      <c r="B101" s="724"/>
      <c r="C101" s="724"/>
      <c r="D101" s="724"/>
      <c r="E101" s="724"/>
      <c r="F101" s="724"/>
      <c r="G101" s="308"/>
      <c r="H101" s="415"/>
      <c r="I101" s="308"/>
      <c r="J101" s="724"/>
      <c r="K101" s="724"/>
      <c r="L101" s="724"/>
      <c r="M101" s="724"/>
      <c r="N101" s="724"/>
    </row>
    <row r="102" spans="2:14" ht="12.75">
      <c r="B102" s="724"/>
      <c r="C102" s="724"/>
      <c r="D102" s="724"/>
      <c r="E102" s="724"/>
      <c r="F102" s="724"/>
      <c r="G102" s="308"/>
      <c r="H102" s="415"/>
      <c r="I102" s="308"/>
      <c r="J102" s="724"/>
      <c r="K102" s="724"/>
      <c r="L102" s="724"/>
      <c r="M102" s="724"/>
      <c r="N102" s="724"/>
    </row>
    <row r="103" spans="2:14" ht="12.75">
      <c r="B103" s="724"/>
      <c r="C103" s="724"/>
      <c r="D103" s="724"/>
      <c r="E103" s="724"/>
      <c r="F103" s="724"/>
      <c r="G103" s="308"/>
      <c r="H103" s="415"/>
      <c r="I103" s="308"/>
      <c r="J103" s="724"/>
      <c r="K103" s="724"/>
      <c r="L103" s="724"/>
      <c r="M103" s="724"/>
      <c r="N103" s="724"/>
    </row>
    <row r="104" spans="2:14" ht="12.75">
      <c r="B104" s="724"/>
      <c r="C104" s="724"/>
      <c r="D104" s="724"/>
      <c r="E104" s="724"/>
      <c r="F104" s="724"/>
      <c r="G104" s="308"/>
      <c r="H104" s="415"/>
      <c r="I104" s="308"/>
      <c r="J104" s="724"/>
      <c r="K104" s="724"/>
      <c r="L104" s="724"/>
      <c r="M104" s="724"/>
      <c r="N104" s="724"/>
    </row>
    <row r="105" spans="2:14" ht="12.75">
      <c r="B105" s="724"/>
      <c r="C105" s="724"/>
      <c r="D105" s="724"/>
      <c r="E105" s="724"/>
      <c r="F105" s="724"/>
      <c r="G105" s="308"/>
      <c r="H105" s="415"/>
      <c r="I105" s="308"/>
      <c r="J105" s="724"/>
      <c r="K105" s="724"/>
      <c r="L105" s="724"/>
      <c r="M105" s="724"/>
      <c r="N105" s="724"/>
    </row>
    <row r="106" spans="2:14" ht="14.25">
      <c r="B106" s="683" t="s">
        <v>642</v>
      </c>
      <c r="C106" s="683"/>
      <c r="D106" s="683"/>
      <c r="E106" s="683"/>
      <c r="F106" s="683"/>
      <c r="G106" s="683"/>
      <c r="H106" s="683"/>
      <c r="I106" s="683"/>
      <c r="J106" s="683"/>
      <c r="K106" s="683"/>
      <c r="L106" s="683"/>
      <c r="M106" s="683"/>
      <c r="N106" s="683"/>
    </row>
    <row r="107" spans="2:15" ht="12.75" customHeight="1">
      <c r="B107" s="684" t="s">
        <v>460</v>
      </c>
      <c r="C107" s="684"/>
      <c r="D107" s="684"/>
      <c r="E107" s="684"/>
      <c r="F107" s="684"/>
      <c r="G107" s="684"/>
      <c r="H107" s="684"/>
      <c r="I107" s="684"/>
      <c r="J107" s="684"/>
      <c r="K107" s="685" t="s">
        <v>462</v>
      </c>
      <c r="L107" s="685"/>
      <c r="M107" s="685" t="s">
        <v>463</v>
      </c>
      <c r="N107" s="685"/>
      <c r="O107" s="413"/>
    </row>
    <row r="108" spans="2:15" ht="12.75">
      <c r="B108" s="684"/>
      <c r="C108" s="684"/>
      <c r="D108" s="684"/>
      <c r="E108" s="684"/>
      <c r="F108" s="684"/>
      <c r="G108" s="684"/>
      <c r="H108" s="684"/>
      <c r="I108" s="684"/>
      <c r="J108" s="684"/>
      <c r="K108" s="685"/>
      <c r="L108" s="685"/>
      <c r="M108" s="685"/>
      <c r="N108" s="685"/>
      <c r="O108" s="413"/>
    </row>
    <row r="109" spans="2:15" ht="12.75">
      <c r="B109" s="724"/>
      <c r="C109" s="724"/>
      <c r="D109" s="724"/>
      <c r="E109" s="724"/>
      <c r="F109" s="724"/>
      <c r="G109" s="724"/>
      <c r="H109" s="724"/>
      <c r="I109" s="724"/>
      <c r="J109" s="724"/>
      <c r="K109" s="679"/>
      <c r="L109" s="679"/>
      <c r="M109" s="679"/>
      <c r="N109" s="679"/>
      <c r="O109" s="413"/>
    </row>
    <row r="110" spans="2:15" ht="12.75">
      <c r="B110" s="724"/>
      <c r="C110" s="724"/>
      <c r="D110" s="724"/>
      <c r="E110" s="724"/>
      <c r="F110" s="724"/>
      <c r="G110" s="724"/>
      <c r="H110" s="724"/>
      <c r="I110" s="724"/>
      <c r="J110" s="724"/>
      <c r="K110" s="679"/>
      <c r="L110" s="679"/>
      <c r="M110" s="679"/>
      <c r="N110" s="679"/>
      <c r="O110" s="413"/>
    </row>
    <row r="111" spans="2:15" ht="12.75">
      <c r="B111" s="724"/>
      <c r="C111" s="724"/>
      <c r="D111" s="724"/>
      <c r="E111" s="724"/>
      <c r="F111" s="724"/>
      <c r="G111" s="724"/>
      <c r="H111" s="724"/>
      <c r="I111" s="724"/>
      <c r="J111" s="724"/>
      <c r="K111" s="679"/>
      <c r="L111" s="679"/>
      <c r="M111" s="679"/>
      <c r="N111" s="679"/>
      <c r="O111" s="413"/>
    </row>
    <row r="112" spans="2:15" ht="12.75">
      <c r="B112" s="724"/>
      <c r="C112" s="724"/>
      <c r="D112" s="724"/>
      <c r="E112" s="724"/>
      <c r="F112" s="724"/>
      <c r="G112" s="724"/>
      <c r="H112" s="724"/>
      <c r="I112" s="724"/>
      <c r="J112" s="724"/>
      <c r="K112" s="679"/>
      <c r="L112" s="679"/>
      <c r="M112" s="679"/>
      <c r="N112" s="679"/>
      <c r="O112" s="413"/>
    </row>
    <row r="113" spans="2:15" ht="12.75">
      <c r="B113" s="724"/>
      <c r="C113" s="724"/>
      <c r="D113" s="724"/>
      <c r="E113" s="724"/>
      <c r="F113" s="724"/>
      <c r="G113" s="724"/>
      <c r="H113" s="724"/>
      <c r="I113" s="724"/>
      <c r="J113" s="724"/>
      <c r="K113" s="679"/>
      <c r="L113" s="679"/>
      <c r="M113" s="679"/>
      <c r="N113" s="679"/>
      <c r="O113" s="413"/>
    </row>
    <row r="114" spans="2:15" ht="12.75">
      <c r="B114" s="724"/>
      <c r="C114" s="724"/>
      <c r="D114" s="724"/>
      <c r="E114" s="724"/>
      <c r="F114" s="724"/>
      <c r="G114" s="724"/>
      <c r="H114" s="724"/>
      <c r="I114" s="724"/>
      <c r="J114" s="724"/>
      <c r="K114" s="679"/>
      <c r="L114" s="679"/>
      <c r="M114" s="679"/>
      <c r="N114" s="679"/>
      <c r="O114" s="413"/>
    </row>
    <row r="115" spans="2:15" ht="12.75">
      <c r="B115" s="724"/>
      <c r="C115" s="724"/>
      <c r="D115" s="724"/>
      <c r="E115" s="724"/>
      <c r="F115" s="724"/>
      <c r="G115" s="724"/>
      <c r="H115" s="724"/>
      <c r="I115" s="724"/>
      <c r="J115" s="724"/>
      <c r="K115" s="679"/>
      <c r="L115" s="679"/>
      <c r="M115" s="679"/>
      <c r="N115" s="679"/>
      <c r="O115" s="413"/>
    </row>
    <row r="116" spans="2:15" ht="12.75">
      <c r="B116" s="724"/>
      <c r="C116" s="724"/>
      <c r="D116" s="724"/>
      <c r="E116" s="724"/>
      <c r="F116" s="724"/>
      <c r="G116" s="724"/>
      <c r="H116" s="724"/>
      <c r="I116" s="724"/>
      <c r="J116" s="724"/>
      <c r="K116" s="679"/>
      <c r="L116" s="679"/>
      <c r="M116" s="679"/>
      <c r="N116" s="679"/>
      <c r="O116" s="413"/>
    </row>
    <row r="117" spans="2:15" ht="12.75">
      <c r="B117" s="724"/>
      <c r="C117" s="724"/>
      <c r="D117" s="724"/>
      <c r="E117" s="724"/>
      <c r="F117" s="724"/>
      <c r="G117" s="724"/>
      <c r="H117" s="724"/>
      <c r="I117" s="724"/>
      <c r="J117" s="724"/>
      <c r="K117" s="679"/>
      <c r="L117" s="679"/>
      <c r="M117" s="679"/>
      <c r="N117" s="679"/>
      <c r="O117" s="413"/>
    </row>
    <row r="118" spans="2:14" ht="12.75">
      <c r="B118" s="724"/>
      <c r="C118" s="724"/>
      <c r="D118" s="724"/>
      <c r="E118" s="724"/>
      <c r="F118" s="724"/>
      <c r="G118" s="724"/>
      <c r="H118" s="724"/>
      <c r="I118" s="724"/>
      <c r="J118" s="724"/>
      <c r="K118" s="679"/>
      <c r="L118" s="679"/>
      <c r="M118" s="679"/>
      <c r="N118" s="679"/>
    </row>
    <row r="119" spans="2:14" ht="12.75" customHeight="1">
      <c r="B119" s="676" t="s">
        <v>231</v>
      </c>
      <c r="C119" s="676"/>
      <c r="D119" s="676"/>
      <c r="E119" s="676"/>
      <c r="F119" s="676"/>
      <c r="G119" s="676"/>
      <c r="H119" s="676"/>
      <c r="I119" s="676"/>
      <c r="J119" s="676"/>
      <c r="K119" s="677">
        <f>SUM(K109:L118)</f>
        <v>0</v>
      </c>
      <c r="L119" s="677"/>
      <c r="M119" s="677">
        <f>SUM(M109:N118)</f>
        <v>0</v>
      </c>
      <c r="N119" s="677"/>
    </row>
    <row r="120" spans="2:14" s="506" customFormat="1" ht="15">
      <c r="B120" s="692" t="s">
        <v>637</v>
      </c>
      <c r="C120" s="692"/>
      <c r="D120" s="692"/>
      <c r="E120" s="692"/>
      <c r="F120" s="692"/>
      <c r="G120" s="692"/>
      <c r="H120" s="692"/>
      <c r="I120" s="692"/>
      <c r="J120" s="692"/>
      <c r="K120" s="692"/>
      <c r="L120" s="692"/>
      <c r="M120" s="692"/>
      <c r="N120" s="692"/>
    </row>
    <row r="121" spans="2:14" ht="12.75">
      <c r="B121" s="684" t="s">
        <v>460</v>
      </c>
      <c r="C121" s="684"/>
      <c r="D121" s="684"/>
      <c r="E121" s="684"/>
      <c r="F121" s="684"/>
      <c r="G121" s="738" t="s">
        <v>643</v>
      </c>
      <c r="H121" s="738"/>
      <c r="I121" s="738" t="s">
        <v>639</v>
      </c>
      <c r="J121" s="738"/>
      <c r="K121" s="738" t="s">
        <v>413</v>
      </c>
      <c r="L121" s="738"/>
      <c r="M121" s="735" t="s">
        <v>643</v>
      </c>
      <c r="N121" s="735"/>
    </row>
    <row r="122" spans="2:14" ht="12.75">
      <c r="B122" s="684"/>
      <c r="C122" s="684"/>
      <c r="D122" s="684"/>
      <c r="E122" s="684"/>
      <c r="F122" s="684"/>
      <c r="G122" s="736" t="str">
        <f>CONCATENATE("31.12.",НАЧАЛО!AC1-1," г.")</f>
        <v>31.12.2009 г.</v>
      </c>
      <c r="H122" s="736"/>
      <c r="I122" s="736" t="str">
        <f>CONCATENATE("през ",НАЧАЛО!AC1," г.")</f>
        <v>през 2010 г.</v>
      </c>
      <c r="J122" s="736"/>
      <c r="K122" s="736" t="str">
        <f>I122</f>
        <v>през 2010 г.</v>
      </c>
      <c r="L122" s="736"/>
      <c r="M122" s="737" t="str">
        <f>CONCATENATE(НАЧАЛО!AA1,".",НАЧАЛО!AB1,".",НАЧАЛО!AC1," г.")</f>
        <v>30.9.2010 г.</v>
      </c>
      <c r="N122" s="737"/>
    </row>
    <row r="123" spans="2:14" ht="12.75">
      <c r="B123" s="689"/>
      <c r="C123" s="689"/>
      <c r="D123" s="689"/>
      <c r="E123" s="689"/>
      <c r="F123" s="689"/>
      <c r="G123" s="679"/>
      <c r="H123" s="679"/>
      <c r="I123" s="679"/>
      <c r="J123" s="679"/>
      <c r="K123" s="734"/>
      <c r="L123" s="734"/>
      <c r="M123" s="679"/>
      <c r="N123" s="679"/>
    </row>
    <row r="124" spans="2:14" ht="12.75">
      <c r="B124" s="689"/>
      <c r="C124" s="689"/>
      <c r="D124" s="689"/>
      <c r="E124" s="689"/>
      <c r="F124" s="689"/>
      <c r="G124" s="679"/>
      <c r="H124" s="679"/>
      <c r="I124" s="679"/>
      <c r="J124" s="679"/>
      <c r="K124" s="679"/>
      <c r="L124" s="679"/>
      <c r="M124" s="679"/>
      <c r="N124" s="679"/>
    </row>
    <row r="125" spans="2:14" ht="12.75">
      <c r="B125" s="689"/>
      <c r="C125" s="689"/>
      <c r="D125" s="689"/>
      <c r="E125" s="689"/>
      <c r="F125" s="689"/>
      <c r="G125" s="679"/>
      <c r="H125" s="679"/>
      <c r="I125" s="679"/>
      <c r="J125" s="679"/>
      <c r="K125" s="679"/>
      <c r="L125" s="679"/>
      <c r="M125" s="679"/>
      <c r="N125" s="679"/>
    </row>
    <row r="126" spans="2:14" ht="12.75">
      <c r="B126" s="689"/>
      <c r="C126" s="689"/>
      <c r="D126" s="689"/>
      <c r="E126" s="689"/>
      <c r="F126" s="689"/>
      <c r="G126" s="679"/>
      <c r="H126" s="679"/>
      <c r="I126" s="679"/>
      <c r="J126" s="679"/>
      <c r="K126" s="679"/>
      <c r="L126" s="679"/>
      <c r="M126" s="679"/>
      <c r="N126" s="679"/>
    </row>
    <row r="127" spans="2:14" ht="12.75">
      <c r="B127" s="689"/>
      <c r="C127" s="689"/>
      <c r="D127" s="689"/>
      <c r="E127" s="689"/>
      <c r="F127" s="689"/>
      <c r="G127" s="679"/>
      <c r="H127" s="679"/>
      <c r="I127" s="679"/>
      <c r="J127" s="679"/>
      <c r="K127" s="679"/>
      <c r="L127" s="679"/>
      <c r="M127" s="679"/>
      <c r="N127" s="679"/>
    </row>
    <row r="128" spans="2:14" ht="12.75">
      <c r="B128" s="689"/>
      <c r="C128" s="689"/>
      <c r="D128" s="689"/>
      <c r="E128" s="689"/>
      <c r="F128" s="689"/>
      <c r="G128" s="679"/>
      <c r="H128" s="679"/>
      <c r="I128" s="679"/>
      <c r="J128" s="679"/>
      <c r="K128" s="679"/>
      <c r="L128" s="679"/>
      <c r="M128" s="679"/>
      <c r="N128" s="679"/>
    </row>
    <row r="129" spans="2:14" ht="12.75">
      <c r="B129" s="689"/>
      <c r="C129" s="689"/>
      <c r="D129" s="689"/>
      <c r="E129" s="689"/>
      <c r="F129" s="689"/>
      <c r="G129" s="679"/>
      <c r="H129" s="679"/>
      <c r="I129" s="679"/>
      <c r="J129" s="679"/>
      <c r="K129" s="679"/>
      <c r="L129" s="679"/>
      <c r="M129" s="679"/>
      <c r="N129" s="679"/>
    </row>
    <row r="130" spans="2:14" ht="12.75">
      <c r="B130" s="689"/>
      <c r="C130" s="689"/>
      <c r="D130" s="689"/>
      <c r="E130" s="689"/>
      <c r="F130" s="689"/>
      <c r="G130" s="679"/>
      <c r="H130" s="679"/>
      <c r="I130" s="679"/>
      <c r="J130" s="679"/>
      <c r="K130" s="679"/>
      <c r="L130" s="679"/>
      <c r="M130" s="679"/>
      <c r="N130" s="679"/>
    </row>
    <row r="131" spans="2:14" ht="12.75">
      <c r="B131" s="689"/>
      <c r="C131" s="689"/>
      <c r="D131" s="689"/>
      <c r="E131" s="689"/>
      <c r="F131" s="689"/>
      <c r="G131" s="679"/>
      <c r="H131" s="679"/>
      <c r="I131" s="679"/>
      <c r="J131" s="679"/>
      <c r="K131" s="679"/>
      <c r="L131" s="679"/>
      <c r="M131" s="679"/>
      <c r="N131" s="679"/>
    </row>
    <row r="132" spans="2:14" ht="12.75">
      <c r="B132" s="689"/>
      <c r="C132" s="689"/>
      <c r="D132" s="689"/>
      <c r="E132" s="689"/>
      <c r="F132" s="689"/>
      <c r="G132" s="679"/>
      <c r="H132" s="679"/>
      <c r="I132" s="679"/>
      <c r="J132" s="679"/>
      <c r="K132" s="679"/>
      <c r="L132" s="679"/>
      <c r="M132" s="679"/>
      <c r="N132" s="679"/>
    </row>
    <row r="133" spans="2:14" ht="12.75">
      <c r="B133" s="688" t="s">
        <v>231</v>
      </c>
      <c r="C133" s="688"/>
      <c r="D133" s="688"/>
      <c r="E133" s="688"/>
      <c r="F133" s="688"/>
      <c r="G133" s="677">
        <f>SUM(G123:H132)</f>
        <v>0</v>
      </c>
      <c r="H133" s="677"/>
      <c r="I133" s="677">
        <f>SUM(I123:J132)</f>
        <v>0</v>
      </c>
      <c r="J133" s="677"/>
      <c r="K133" s="677">
        <f>SUM(K123:L132)</f>
        <v>0</v>
      </c>
      <c r="L133" s="677"/>
      <c r="M133" s="677">
        <f>SUM(M123:N132)</f>
        <v>0</v>
      </c>
      <c r="N133" s="677"/>
    </row>
    <row r="135" spans="2:14" ht="14.25">
      <c r="B135" s="675" t="s">
        <v>644</v>
      </c>
      <c r="C135" s="675"/>
      <c r="D135" s="675"/>
      <c r="E135" s="675"/>
      <c r="F135" s="675"/>
      <c r="G135" s="675"/>
      <c r="H135" s="675"/>
      <c r="I135" s="675"/>
      <c r="J135" s="675"/>
      <c r="K135" s="675"/>
      <c r="L135" s="675"/>
      <c r="M135" s="419"/>
      <c r="N135" s="419"/>
    </row>
    <row r="136" spans="2:12" ht="12.75">
      <c r="B136" s="669" t="str">
        <f>CONCATENATE("Бъдещи минимални лизингови постъпления към ",НАЧАЛО!$AA$1,".",НАЧАЛО!$AB$1,".",НАЧАЛО!$AC$1," г.")</f>
        <v>Бъдещи минимални лизингови постъпления към 30.9.2010 г.</v>
      </c>
      <c r="C136" s="669"/>
      <c r="D136" s="669"/>
      <c r="E136" s="669"/>
      <c r="F136" s="669"/>
      <c r="G136" s="669"/>
      <c r="H136" s="669"/>
      <c r="I136" s="669"/>
      <c r="J136" s="669"/>
      <c r="K136" s="669"/>
      <c r="L136" s="669"/>
    </row>
    <row r="137" spans="2:12" ht="12.75">
      <c r="B137" s="673"/>
      <c r="C137" s="673"/>
      <c r="D137" s="673"/>
      <c r="E137" s="673"/>
      <c r="F137" s="673"/>
      <c r="G137" s="674" t="s">
        <v>310</v>
      </c>
      <c r="H137" s="674"/>
      <c r="I137" s="674" t="s">
        <v>311</v>
      </c>
      <c r="J137" s="674"/>
      <c r="K137" s="674" t="s">
        <v>231</v>
      </c>
      <c r="L137" s="674"/>
    </row>
    <row r="138" spans="2:12" ht="12.75">
      <c r="B138" s="670" t="s">
        <v>312</v>
      </c>
      <c r="C138" s="670"/>
      <c r="D138" s="670"/>
      <c r="E138" s="670"/>
      <c r="F138" s="670"/>
      <c r="G138" s="671"/>
      <c r="H138" s="671"/>
      <c r="I138" s="671"/>
      <c r="J138" s="671"/>
      <c r="K138" s="672">
        <f>SUM(G138:I138)</f>
        <v>0</v>
      </c>
      <c r="L138" s="672"/>
    </row>
    <row r="139" spans="2:12" ht="12.75">
      <c r="B139" s="670" t="s">
        <v>313</v>
      </c>
      <c r="C139" s="670"/>
      <c r="D139" s="670"/>
      <c r="E139" s="670"/>
      <c r="F139" s="670"/>
      <c r="G139" s="671"/>
      <c r="H139" s="671"/>
      <c r="I139" s="671"/>
      <c r="J139" s="671"/>
      <c r="K139" s="672">
        <f>SUM(G139:I139)</f>
        <v>0</v>
      </c>
      <c r="L139" s="672"/>
    </row>
    <row r="140" spans="2:12" ht="12.75">
      <c r="B140" s="666" t="s">
        <v>314</v>
      </c>
      <c r="C140" s="666"/>
      <c r="D140" s="666"/>
      <c r="E140" s="666"/>
      <c r="F140" s="666"/>
      <c r="G140" s="667">
        <f>SUM(F138:F139)</f>
        <v>0</v>
      </c>
      <c r="H140" s="667"/>
      <c r="I140" s="667">
        <f>SUM(H138:H139)</f>
        <v>0</v>
      </c>
      <c r="J140" s="667"/>
      <c r="K140" s="667">
        <f>SUM(J138:J139)</f>
        <v>0</v>
      </c>
      <c r="L140" s="667"/>
    </row>
    <row r="141" spans="2:12" ht="12.75">
      <c r="B141" s="669" t="str">
        <f>CONCATENATE("Бъдещи минимални лизингови постъпления към 31.12.",НАЧАЛО!$AC$1-1," г.")</f>
        <v>Бъдещи минимални лизингови постъпления към 31.12.2009 г.</v>
      </c>
      <c r="C141" s="669"/>
      <c r="D141" s="669"/>
      <c r="E141" s="669"/>
      <c r="F141" s="669"/>
      <c r="G141" s="669"/>
      <c r="H141" s="669"/>
      <c r="I141" s="669"/>
      <c r="J141" s="669"/>
      <c r="K141" s="669"/>
      <c r="L141" s="669"/>
    </row>
    <row r="142" spans="2:12" ht="12.75">
      <c r="B142" s="673"/>
      <c r="C142" s="673"/>
      <c r="D142" s="673"/>
      <c r="E142" s="673"/>
      <c r="F142" s="673"/>
      <c r="G142" s="674" t="s">
        <v>310</v>
      </c>
      <c r="H142" s="674"/>
      <c r="I142" s="674" t="s">
        <v>311</v>
      </c>
      <c r="J142" s="674"/>
      <c r="K142" s="674" t="s">
        <v>231</v>
      </c>
      <c r="L142" s="674"/>
    </row>
    <row r="143" spans="2:12" ht="12.75">
      <c r="B143" s="670" t="s">
        <v>312</v>
      </c>
      <c r="C143" s="670"/>
      <c r="D143" s="670"/>
      <c r="E143" s="670"/>
      <c r="F143" s="670"/>
      <c r="G143" s="671"/>
      <c r="H143" s="671"/>
      <c r="I143" s="671"/>
      <c r="J143" s="671"/>
      <c r="K143" s="672">
        <f>SUM(F143:I143)</f>
        <v>0</v>
      </c>
      <c r="L143" s="672"/>
    </row>
    <row r="144" spans="2:12" ht="12.75">
      <c r="B144" s="670" t="s">
        <v>313</v>
      </c>
      <c r="C144" s="670"/>
      <c r="D144" s="670"/>
      <c r="E144" s="670"/>
      <c r="F144" s="670"/>
      <c r="G144" s="671"/>
      <c r="H144" s="671"/>
      <c r="I144" s="671"/>
      <c r="J144" s="671"/>
      <c r="K144" s="672">
        <f>SUM(F144:I144)</f>
        <v>0</v>
      </c>
      <c r="L144" s="672"/>
    </row>
    <row r="145" spans="2:12" ht="12.75">
      <c r="B145" s="666" t="s">
        <v>314</v>
      </c>
      <c r="C145" s="666"/>
      <c r="D145" s="666"/>
      <c r="E145" s="666"/>
      <c r="F145" s="666"/>
      <c r="G145" s="667">
        <f>SUM(G143:G144)</f>
        <v>0</v>
      </c>
      <c r="H145" s="667"/>
      <c r="I145" s="667">
        <f>SUM(I143:I144)</f>
        <v>0</v>
      </c>
      <c r="J145" s="667"/>
      <c r="K145" s="667">
        <f>SUM(K143:K144)</f>
        <v>0</v>
      </c>
      <c r="L145" s="667"/>
    </row>
    <row r="146" spans="2:12" ht="14.25">
      <c r="B146" s="668" t="s">
        <v>645</v>
      </c>
      <c r="C146" s="668"/>
      <c r="D146" s="668"/>
      <c r="E146" s="668"/>
      <c r="F146" s="668"/>
      <c r="G146" s="668"/>
      <c r="H146" s="668"/>
      <c r="I146" s="668"/>
      <c r="J146" s="668"/>
      <c r="K146" s="668"/>
      <c r="L146" s="668"/>
    </row>
    <row r="147" spans="2:12" ht="12.75">
      <c r="B147" s="669" t="str">
        <f>B136</f>
        <v>Бъдещи минимални лизингови постъпления към 30.9.2010 г.</v>
      </c>
      <c r="C147" s="669"/>
      <c r="D147" s="669"/>
      <c r="E147" s="669"/>
      <c r="F147" s="669"/>
      <c r="G147" s="669"/>
      <c r="H147" s="669"/>
      <c r="I147" s="669"/>
      <c r="J147" s="669"/>
      <c r="K147" s="669"/>
      <c r="L147" s="669"/>
    </row>
    <row r="148" spans="2:12" ht="12.75">
      <c r="B148" s="670" t="s">
        <v>312</v>
      </c>
      <c r="C148" s="670"/>
      <c r="D148" s="670"/>
      <c r="E148" s="670"/>
      <c r="F148" s="670"/>
      <c r="G148" s="671"/>
      <c r="H148" s="671"/>
      <c r="I148" s="671"/>
      <c r="J148" s="671"/>
      <c r="K148" s="672">
        <f>SUM(F148:I148)</f>
        <v>0</v>
      </c>
      <c r="L148" s="672"/>
    </row>
    <row r="149" spans="2:12" ht="12.75">
      <c r="B149" s="666" t="s">
        <v>231</v>
      </c>
      <c r="C149" s="666"/>
      <c r="D149" s="666"/>
      <c r="E149" s="666"/>
      <c r="F149" s="666"/>
      <c r="G149" s="667">
        <f>SUM(G148)</f>
        <v>0</v>
      </c>
      <c r="H149" s="667"/>
      <c r="I149" s="667">
        <f>SUM(I148)</f>
        <v>0</v>
      </c>
      <c r="J149" s="667"/>
      <c r="K149" s="667">
        <f>SUM(K148)</f>
        <v>0</v>
      </c>
      <c r="L149" s="667"/>
    </row>
    <row r="151" spans="2:14" ht="14.25">
      <c r="B151" s="675" t="s">
        <v>646</v>
      </c>
      <c r="C151" s="675"/>
      <c r="D151" s="675"/>
      <c r="E151" s="675"/>
      <c r="F151" s="675"/>
      <c r="G151" s="675"/>
      <c r="H151" s="675"/>
      <c r="I151" s="675"/>
      <c r="J151" s="675"/>
      <c r="K151" s="675"/>
      <c r="L151" s="675"/>
      <c r="M151" s="419"/>
      <c r="N151" s="419"/>
    </row>
    <row r="152" spans="2:12" ht="12.75">
      <c r="B152" s="669" t="str">
        <f>CONCATENATE("Бъдещи минимални лизингови плащания към ",НАЧАЛО!AA1,".",НАЧАЛО!AB1,".",НАЧАЛО!AC1," г.")</f>
        <v>Бъдещи минимални лизингови плащания към 30.9.2010 г.</v>
      </c>
      <c r="C152" s="669"/>
      <c r="D152" s="669"/>
      <c r="E152" s="669"/>
      <c r="F152" s="669"/>
      <c r="G152" s="669"/>
      <c r="H152" s="669"/>
      <c r="I152" s="669"/>
      <c r="J152" s="669"/>
      <c r="K152" s="669"/>
      <c r="L152" s="669"/>
    </row>
    <row r="153" spans="2:12" ht="12.75">
      <c r="B153" s="673"/>
      <c r="C153" s="673"/>
      <c r="D153" s="673"/>
      <c r="E153" s="673"/>
      <c r="F153" s="673"/>
      <c r="G153" s="674" t="s">
        <v>310</v>
      </c>
      <c r="H153" s="674"/>
      <c r="I153" s="674" t="s">
        <v>311</v>
      </c>
      <c r="J153" s="674"/>
      <c r="K153" s="674" t="s">
        <v>231</v>
      </c>
      <c r="L153" s="674"/>
    </row>
    <row r="154" spans="2:12" ht="12.75">
      <c r="B154" s="670" t="s">
        <v>464</v>
      </c>
      <c r="C154" s="670"/>
      <c r="D154" s="670"/>
      <c r="E154" s="670"/>
      <c r="F154" s="670"/>
      <c r="G154" s="671"/>
      <c r="H154" s="671"/>
      <c r="I154" s="671"/>
      <c r="J154" s="671"/>
      <c r="K154" s="672">
        <f>SUM(G154:I154)</f>
        <v>0</v>
      </c>
      <c r="L154" s="672"/>
    </row>
    <row r="155" spans="2:12" ht="12.75">
      <c r="B155" s="670" t="s">
        <v>313</v>
      </c>
      <c r="C155" s="670"/>
      <c r="D155" s="670"/>
      <c r="E155" s="670"/>
      <c r="F155" s="670"/>
      <c r="G155" s="671"/>
      <c r="H155" s="671"/>
      <c r="I155" s="671"/>
      <c r="J155" s="671"/>
      <c r="K155" s="672">
        <f>SUM(G155:I155)</f>
        <v>0</v>
      </c>
      <c r="L155" s="672"/>
    </row>
    <row r="156" spans="2:12" ht="12.75">
      <c r="B156" s="722" t="s">
        <v>314</v>
      </c>
      <c r="C156" s="722"/>
      <c r="D156" s="722"/>
      <c r="E156" s="722"/>
      <c r="F156" s="722"/>
      <c r="G156" s="723">
        <f>SUM(F154:F155)</f>
        <v>0</v>
      </c>
      <c r="H156" s="723"/>
      <c r="I156" s="723">
        <f>SUM(H154:H155)</f>
        <v>0</v>
      </c>
      <c r="J156" s="723"/>
      <c r="K156" s="723">
        <f>SUM(J154:J155)</f>
        <v>0</v>
      </c>
      <c r="L156" s="723"/>
    </row>
    <row r="157" spans="2:12" ht="12.75">
      <c r="B157" s="669" t="str">
        <f>CONCATENATE("Бъдещи минимални лизингови плащания към 31.12.",НАЧАЛО!AC1-1," г.")</f>
        <v>Бъдещи минимални лизингови плащания към 31.12.2009 г.</v>
      </c>
      <c r="C157" s="669"/>
      <c r="D157" s="669"/>
      <c r="E157" s="669"/>
      <c r="F157" s="669"/>
      <c r="G157" s="669"/>
      <c r="H157" s="669"/>
      <c r="I157" s="669"/>
      <c r="J157" s="669"/>
      <c r="K157" s="669"/>
      <c r="L157" s="669"/>
    </row>
    <row r="158" spans="2:12" ht="12.75">
      <c r="B158" s="673"/>
      <c r="C158" s="673"/>
      <c r="D158" s="673"/>
      <c r="E158" s="673"/>
      <c r="F158" s="673"/>
      <c r="G158" s="674" t="s">
        <v>310</v>
      </c>
      <c r="H158" s="674"/>
      <c r="I158" s="674" t="s">
        <v>311</v>
      </c>
      <c r="J158" s="674"/>
      <c r="K158" s="674" t="s">
        <v>231</v>
      </c>
      <c r="L158" s="674"/>
    </row>
    <row r="159" spans="2:12" ht="12.75">
      <c r="B159" s="670" t="s">
        <v>464</v>
      </c>
      <c r="C159" s="670"/>
      <c r="D159" s="670"/>
      <c r="E159" s="670"/>
      <c r="F159" s="670"/>
      <c r="G159" s="671"/>
      <c r="H159" s="671"/>
      <c r="I159" s="671"/>
      <c r="J159" s="671"/>
      <c r="K159" s="672">
        <f>SUM(F159:I159)</f>
        <v>0</v>
      </c>
      <c r="L159" s="672"/>
    </row>
    <row r="160" spans="2:12" ht="12.75">
      <c r="B160" s="670" t="s">
        <v>313</v>
      </c>
      <c r="C160" s="670"/>
      <c r="D160" s="670"/>
      <c r="E160" s="670"/>
      <c r="F160" s="670"/>
      <c r="G160" s="671"/>
      <c r="H160" s="671"/>
      <c r="I160" s="671"/>
      <c r="J160" s="671"/>
      <c r="K160" s="672">
        <f>SUM(F160:I160)</f>
        <v>0</v>
      </c>
      <c r="L160" s="672"/>
    </row>
    <row r="161" spans="2:12" ht="12.75">
      <c r="B161" s="722" t="s">
        <v>314</v>
      </c>
      <c r="C161" s="722"/>
      <c r="D161" s="722"/>
      <c r="E161" s="722"/>
      <c r="F161" s="722"/>
      <c r="G161" s="723">
        <f>SUM(G159:G160)</f>
        <v>0</v>
      </c>
      <c r="H161" s="723"/>
      <c r="I161" s="723">
        <f>SUM(I159:I160)</f>
        <v>0</v>
      </c>
      <c r="J161" s="723"/>
      <c r="K161" s="723">
        <f>SUM(K159:K160)</f>
        <v>0</v>
      </c>
      <c r="L161" s="723"/>
    </row>
    <row r="162" spans="2:12" ht="14.25">
      <c r="B162" s="668" t="s">
        <v>647</v>
      </c>
      <c r="C162" s="668"/>
      <c r="D162" s="668"/>
      <c r="E162" s="668"/>
      <c r="F162" s="668"/>
      <c r="G162" s="668"/>
      <c r="H162" s="668"/>
      <c r="I162" s="668"/>
      <c r="J162" s="668"/>
      <c r="K162" s="668"/>
      <c r="L162" s="668"/>
    </row>
    <row r="163" spans="2:12" ht="12.75">
      <c r="B163" s="669" t="str">
        <f>B152</f>
        <v>Бъдещи минимални лизингови плащания към 30.9.2010 г.</v>
      </c>
      <c r="C163" s="669"/>
      <c r="D163" s="669"/>
      <c r="E163" s="669"/>
      <c r="F163" s="669"/>
      <c r="G163" s="669"/>
      <c r="H163" s="669"/>
      <c r="I163" s="669"/>
      <c r="J163" s="669"/>
      <c r="K163" s="669"/>
      <c r="L163" s="669"/>
    </row>
    <row r="164" spans="2:12" ht="12.75">
      <c r="B164" s="670" t="s">
        <v>464</v>
      </c>
      <c r="C164" s="670"/>
      <c r="D164" s="670"/>
      <c r="E164" s="670"/>
      <c r="F164" s="670"/>
      <c r="G164" s="671"/>
      <c r="H164" s="671"/>
      <c r="I164" s="671"/>
      <c r="J164" s="671"/>
      <c r="K164" s="672">
        <f>SUM(F164:I164)</f>
        <v>0</v>
      </c>
      <c r="L164" s="672"/>
    </row>
    <row r="165" spans="2:12" ht="12.75">
      <c r="B165" s="722" t="s">
        <v>231</v>
      </c>
      <c r="C165" s="722"/>
      <c r="D165" s="722"/>
      <c r="E165" s="722"/>
      <c r="F165" s="722"/>
      <c r="G165" s="723">
        <f>SUM(G164)</f>
        <v>0</v>
      </c>
      <c r="H165" s="723"/>
      <c r="I165" s="723">
        <f>SUM(I164)</f>
        <v>0</v>
      </c>
      <c r="J165" s="723"/>
      <c r="K165" s="723">
        <f>SUM(K164)</f>
        <v>0</v>
      </c>
      <c r="L165" s="723"/>
    </row>
  </sheetData>
  <mergeCells count="552">
    <mergeCell ref="B1:N1"/>
    <mergeCell ref="B2:E2"/>
    <mergeCell ref="F2:J2"/>
    <mergeCell ref="K2:L2"/>
    <mergeCell ref="M2:N2"/>
    <mergeCell ref="B3:E3"/>
    <mergeCell ref="F3:J3"/>
    <mergeCell ref="K3:L3"/>
    <mergeCell ref="M3:N3"/>
    <mergeCell ref="B4:E4"/>
    <mergeCell ref="F4:J4"/>
    <mergeCell ref="K4:L4"/>
    <mergeCell ref="M4:N4"/>
    <mergeCell ref="B5:E5"/>
    <mergeCell ref="F5:J5"/>
    <mergeCell ref="K5:L5"/>
    <mergeCell ref="M5:N5"/>
    <mergeCell ref="B6:E6"/>
    <mergeCell ref="F6:J6"/>
    <mergeCell ref="K6:L6"/>
    <mergeCell ref="M6:N6"/>
    <mergeCell ref="B7:E7"/>
    <mergeCell ref="F7:J7"/>
    <mergeCell ref="K7:L7"/>
    <mergeCell ref="M7:N7"/>
    <mergeCell ref="B8:E8"/>
    <mergeCell ref="F8:J8"/>
    <mergeCell ref="K8:L8"/>
    <mergeCell ref="M8:N8"/>
    <mergeCell ref="B9:E9"/>
    <mergeCell ref="F9:J9"/>
    <mergeCell ref="K9:L9"/>
    <mergeCell ref="M9:N9"/>
    <mergeCell ref="B10:E10"/>
    <mergeCell ref="F10:J10"/>
    <mergeCell ref="K10:L10"/>
    <mergeCell ref="M10:N10"/>
    <mergeCell ref="B11:E11"/>
    <mergeCell ref="F11:J11"/>
    <mergeCell ref="K11:L11"/>
    <mergeCell ref="M11:N11"/>
    <mergeCell ref="B12:E12"/>
    <mergeCell ref="F12:J12"/>
    <mergeCell ref="K12:L12"/>
    <mergeCell ref="M12:N12"/>
    <mergeCell ref="B13:N13"/>
    <mergeCell ref="B14:E14"/>
    <mergeCell ref="F14:J14"/>
    <mergeCell ref="K14:L14"/>
    <mergeCell ref="M14:N14"/>
    <mergeCell ref="B15:E15"/>
    <mergeCell ref="F15:J15"/>
    <mergeCell ref="K15:L15"/>
    <mergeCell ref="M15:N15"/>
    <mergeCell ref="B16:E16"/>
    <mergeCell ref="F16:J16"/>
    <mergeCell ref="K16:L16"/>
    <mergeCell ref="M16:N16"/>
    <mergeCell ref="B17:E17"/>
    <mergeCell ref="F17:J17"/>
    <mergeCell ref="K17:L17"/>
    <mergeCell ref="M17:N17"/>
    <mergeCell ref="B18:E18"/>
    <mergeCell ref="F18:J18"/>
    <mergeCell ref="K18:L18"/>
    <mergeCell ref="M18:N18"/>
    <mergeCell ref="B19:E19"/>
    <mergeCell ref="F19:J19"/>
    <mergeCell ref="K19:L19"/>
    <mergeCell ref="M19:N19"/>
    <mergeCell ref="B20:E20"/>
    <mergeCell ref="F20:J20"/>
    <mergeCell ref="K20:L20"/>
    <mergeCell ref="M20:N20"/>
    <mergeCell ref="B21:E21"/>
    <mergeCell ref="F21:J21"/>
    <mergeCell ref="K21:L21"/>
    <mergeCell ref="M21:N21"/>
    <mergeCell ref="B22:E22"/>
    <mergeCell ref="F22:J22"/>
    <mergeCell ref="K22:L22"/>
    <mergeCell ref="M22:N22"/>
    <mergeCell ref="B23:E23"/>
    <mergeCell ref="F23:J23"/>
    <mergeCell ref="K23:L23"/>
    <mergeCell ref="M23:N23"/>
    <mergeCell ref="B24:E24"/>
    <mergeCell ref="F24:J24"/>
    <mergeCell ref="K24:L24"/>
    <mergeCell ref="M24:N24"/>
    <mergeCell ref="K28:L28"/>
    <mergeCell ref="B26:N26"/>
    <mergeCell ref="B27:F27"/>
    <mergeCell ref="G27:H27"/>
    <mergeCell ref="I27:J27"/>
    <mergeCell ref="K27:L27"/>
    <mergeCell ref="M27:N27"/>
    <mergeCell ref="K30:L30"/>
    <mergeCell ref="M28:N28"/>
    <mergeCell ref="B29:F29"/>
    <mergeCell ref="G29:H29"/>
    <mergeCell ref="I29:J29"/>
    <mergeCell ref="K29:L29"/>
    <mergeCell ref="M29:N29"/>
    <mergeCell ref="B28:F28"/>
    <mergeCell ref="G28:H28"/>
    <mergeCell ref="I28:J28"/>
    <mergeCell ref="K32:L32"/>
    <mergeCell ref="M30:N30"/>
    <mergeCell ref="B31:F31"/>
    <mergeCell ref="G31:H31"/>
    <mergeCell ref="I31:J31"/>
    <mergeCell ref="K31:L31"/>
    <mergeCell ref="M31:N31"/>
    <mergeCell ref="B30:F30"/>
    <mergeCell ref="G30:H30"/>
    <mergeCell ref="I30:J30"/>
    <mergeCell ref="K34:L34"/>
    <mergeCell ref="M32:N32"/>
    <mergeCell ref="B33:F33"/>
    <mergeCell ref="G33:H33"/>
    <mergeCell ref="I33:J33"/>
    <mergeCell ref="K33:L33"/>
    <mergeCell ref="M33:N33"/>
    <mergeCell ref="B32:F32"/>
    <mergeCell ref="G32:H32"/>
    <mergeCell ref="I32:J32"/>
    <mergeCell ref="K36:L36"/>
    <mergeCell ref="M34:N34"/>
    <mergeCell ref="B35:F35"/>
    <mergeCell ref="G35:H35"/>
    <mergeCell ref="I35:J35"/>
    <mergeCell ref="K35:L35"/>
    <mergeCell ref="M35:N35"/>
    <mergeCell ref="B34:F34"/>
    <mergeCell ref="G34:H34"/>
    <mergeCell ref="I34:J34"/>
    <mergeCell ref="K38:L38"/>
    <mergeCell ref="M36:N36"/>
    <mergeCell ref="B37:F37"/>
    <mergeCell ref="G37:H37"/>
    <mergeCell ref="I37:J37"/>
    <mergeCell ref="K37:L37"/>
    <mergeCell ref="M37:N37"/>
    <mergeCell ref="B36:F36"/>
    <mergeCell ref="G36:H36"/>
    <mergeCell ref="I36:J36"/>
    <mergeCell ref="M38:N38"/>
    <mergeCell ref="B39:N39"/>
    <mergeCell ref="B40:F40"/>
    <mergeCell ref="G40:H40"/>
    <mergeCell ref="I40:J40"/>
    <mergeCell ref="K40:L40"/>
    <mergeCell ref="M40:N40"/>
    <mergeCell ref="B38:F38"/>
    <mergeCell ref="G38:H38"/>
    <mergeCell ref="I38:J38"/>
    <mergeCell ref="M41:N41"/>
    <mergeCell ref="B42:F42"/>
    <mergeCell ref="G42:H42"/>
    <mergeCell ref="I42:J42"/>
    <mergeCell ref="K42:L42"/>
    <mergeCell ref="M42:N42"/>
    <mergeCell ref="B41:F41"/>
    <mergeCell ref="G41:H41"/>
    <mergeCell ref="I41:J41"/>
    <mergeCell ref="K41:L41"/>
    <mergeCell ref="M43:N43"/>
    <mergeCell ref="B44:F44"/>
    <mergeCell ref="G44:H44"/>
    <mergeCell ref="I44:J44"/>
    <mergeCell ref="K44:L44"/>
    <mergeCell ref="M44:N44"/>
    <mergeCell ref="B43:F43"/>
    <mergeCell ref="G43:H43"/>
    <mergeCell ref="I43:J43"/>
    <mergeCell ref="K43:L43"/>
    <mergeCell ref="M45:N45"/>
    <mergeCell ref="B46:F46"/>
    <mergeCell ref="G46:H46"/>
    <mergeCell ref="I46:J46"/>
    <mergeCell ref="K46:L46"/>
    <mergeCell ref="M46:N46"/>
    <mergeCell ref="B45:F45"/>
    <mergeCell ref="G45:H45"/>
    <mergeCell ref="I45:J45"/>
    <mergeCell ref="K45:L45"/>
    <mergeCell ref="M47:N47"/>
    <mergeCell ref="B48:F48"/>
    <mergeCell ref="G48:H48"/>
    <mergeCell ref="I48:J48"/>
    <mergeCell ref="K48:L48"/>
    <mergeCell ref="M48:N48"/>
    <mergeCell ref="B47:F47"/>
    <mergeCell ref="G47:H47"/>
    <mergeCell ref="I47:J47"/>
    <mergeCell ref="K47:L47"/>
    <mergeCell ref="M49:N49"/>
    <mergeCell ref="B50:F50"/>
    <mergeCell ref="G50:H50"/>
    <mergeCell ref="I50:J50"/>
    <mergeCell ref="K50:L50"/>
    <mergeCell ref="M50:N50"/>
    <mergeCell ref="B49:F49"/>
    <mergeCell ref="G49:H49"/>
    <mergeCell ref="I49:J49"/>
    <mergeCell ref="K49:L49"/>
    <mergeCell ref="M51:N51"/>
    <mergeCell ref="B53:N53"/>
    <mergeCell ref="B54:F54"/>
    <mergeCell ref="J54:N54"/>
    <mergeCell ref="B51:F51"/>
    <mergeCell ref="G51:H51"/>
    <mergeCell ref="I51:J51"/>
    <mergeCell ref="K51:L51"/>
    <mergeCell ref="B55:F55"/>
    <mergeCell ref="J55:N55"/>
    <mergeCell ref="B56:F56"/>
    <mergeCell ref="J56:N56"/>
    <mergeCell ref="B57:F57"/>
    <mergeCell ref="J57:N57"/>
    <mergeCell ref="B58:F58"/>
    <mergeCell ref="J58:N58"/>
    <mergeCell ref="B59:F59"/>
    <mergeCell ref="J59:N59"/>
    <mergeCell ref="B60:F60"/>
    <mergeCell ref="J60:N60"/>
    <mergeCell ref="B61:F61"/>
    <mergeCell ref="J61:N61"/>
    <mergeCell ref="B62:F62"/>
    <mergeCell ref="J62:N62"/>
    <mergeCell ref="B63:F63"/>
    <mergeCell ref="J63:N63"/>
    <mergeCell ref="B64:F64"/>
    <mergeCell ref="J64:N64"/>
    <mergeCell ref="B65:N65"/>
    <mergeCell ref="B66:J67"/>
    <mergeCell ref="K66:L67"/>
    <mergeCell ref="M66:N67"/>
    <mergeCell ref="B68:J68"/>
    <mergeCell ref="K68:L68"/>
    <mergeCell ref="M68:N68"/>
    <mergeCell ref="B69:J69"/>
    <mergeCell ref="K69:L69"/>
    <mergeCell ref="M69:N69"/>
    <mergeCell ref="B70:J70"/>
    <mergeCell ref="K70:L70"/>
    <mergeCell ref="M70:N70"/>
    <mergeCell ref="B71:J71"/>
    <mergeCell ref="K71:L71"/>
    <mergeCell ref="M71:N71"/>
    <mergeCell ref="B72:J72"/>
    <mergeCell ref="K72:L72"/>
    <mergeCell ref="M72:N72"/>
    <mergeCell ref="B73:J73"/>
    <mergeCell ref="K73:L73"/>
    <mergeCell ref="M73:N73"/>
    <mergeCell ref="B74:J74"/>
    <mergeCell ref="K74:L74"/>
    <mergeCell ref="M74:N74"/>
    <mergeCell ref="B75:J75"/>
    <mergeCell ref="K75:L75"/>
    <mergeCell ref="M75:N75"/>
    <mergeCell ref="B76:J76"/>
    <mergeCell ref="K76:L76"/>
    <mergeCell ref="M76:N76"/>
    <mergeCell ref="B77:J77"/>
    <mergeCell ref="K77:L77"/>
    <mergeCell ref="M77:N77"/>
    <mergeCell ref="B78:J78"/>
    <mergeCell ref="K78:L78"/>
    <mergeCell ref="M78:N78"/>
    <mergeCell ref="B79:N79"/>
    <mergeCell ref="B80:F81"/>
    <mergeCell ref="G80:H80"/>
    <mergeCell ref="I80:J80"/>
    <mergeCell ref="K80:L80"/>
    <mergeCell ref="M80:N80"/>
    <mergeCell ref="G81:H81"/>
    <mergeCell ref="I81:J81"/>
    <mergeCell ref="K81:L81"/>
    <mergeCell ref="M81:N81"/>
    <mergeCell ref="M82:N82"/>
    <mergeCell ref="B83:F83"/>
    <mergeCell ref="G83:H83"/>
    <mergeCell ref="I83:J83"/>
    <mergeCell ref="K83:L83"/>
    <mergeCell ref="M83:N83"/>
    <mergeCell ref="B82:F82"/>
    <mergeCell ref="G82:H82"/>
    <mergeCell ref="I82:J82"/>
    <mergeCell ref="K82:L82"/>
    <mergeCell ref="M84:N84"/>
    <mergeCell ref="B85:F85"/>
    <mergeCell ref="G85:H85"/>
    <mergeCell ref="I85:J85"/>
    <mergeCell ref="K85:L85"/>
    <mergeCell ref="M85:N85"/>
    <mergeCell ref="B84:F84"/>
    <mergeCell ref="G84:H84"/>
    <mergeCell ref="I84:J84"/>
    <mergeCell ref="K84:L84"/>
    <mergeCell ref="M86:N86"/>
    <mergeCell ref="B87:F87"/>
    <mergeCell ref="G87:H87"/>
    <mergeCell ref="I87:J87"/>
    <mergeCell ref="K87:L87"/>
    <mergeCell ref="M87:N87"/>
    <mergeCell ref="B86:F86"/>
    <mergeCell ref="G86:H86"/>
    <mergeCell ref="I86:J86"/>
    <mergeCell ref="K86:L86"/>
    <mergeCell ref="M88:N88"/>
    <mergeCell ref="B89:F89"/>
    <mergeCell ref="G89:H89"/>
    <mergeCell ref="I89:J89"/>
    <mergeCell ref="K89:L89"/>
    <mergeCell ref="M89:N89"/>
    <mergeCell ref="B88:F88"/>
    <mergeCell ref="G88:H88"/>
    <mergeCell ref="I88:J88"/>
    <mergeCell ref="K88:L88"/>
    <mergeCell ref="M90:N90"/>
    <mergeCell ref="B91:F91"/>
    <mergeCell ref="G91:H91"/>
    <mergeCell ref="I91:J91"/>
    <mergeCell ref="K91:L91"/>
    <mergeCell ref="M91:N91"/>
    <mergeCell ref="B90:F90"/>
    <mergeCell ref="G90:H90"/>
    <mergeCell ref="I90:J90"/>
    <mergeCell ref="K90:L90"/>
    <mergeCell ref="M92:N92"/>
    <mergeCell ref="B94:N94"/>
    <mergeCell ref="B95:F95"/>
    <mergeCell ref="J95:N95"/>
    <mergeCell ref="B92:F92"/>
    <mergeCell ref="G92:H92"/>
    <mergeCell ref="I92:J92"/>
    <mergeCell ref="K92:L92"/>
    <mergeCell ref="B96:F96"/>
    <mergeCell ref="J96:N96"/>
    <mergeCell ref="B97:F97"/>
    <mergeCell ref="J97:N97"/>
    <mergeCell ref="B98:F98"/>
    <mergeCell ref="J98:N98"/>
    <mergeCell ref="B99:F99"/>
    <mergeCell ref="J99:N99"/>
    <mergeCell ref="B100:F100"/>
    <mergeCell ref="J100:N100"/>
    <mergeCell ref="B101:F101"/>
    <mergeCell ref="J101:N101"/>
    <mergeCell ref="B102:F102"/>
    <mergeCell ref="J102:N102"/>
    <mergeCell ref="B103:F103"/>
    <mergeCell ref="J103:N103"/>
    <mergeCell ref="B104:F104"/>
    <mergeCell ref="J104:N104"/>
    <mergeCell ref="B105:F105"/>
    <mergeCell ref="J105:N105"/>
    <mergeCell ref="B106:N106"/>
    <mergeCell ref="B107:J108"/>
    <mergeCell ref="K107:L108"/>
    <mergeCell ref="M107:N108"/>
    <mergeCell ref="B109:J109"/>
    <mergeCell ref="K109:L109"/>
    <mergeCell ref="M109:N109"/>
    <mergeCell ref="B110:J110"/>
    <mergeCell ref="K110:L110"/>
    <mergeCell ref="M110:N110"/>
    <mergeCell ref="B111:J111"/>
    <mergeCell ref="K111:L111"/>
    <mergeCell ref="M111:N111"/>
    <mergeCell ref="B112:J112"/>
    <mergeCell ref="K112:L112"/>
    <mergeCell ref="M112:N112"/>
    <mergeCell ref="B113:J113"/>
    <mergeCell ref="K113:L113"/>
    <mergeCell ref="M113:N113"/>
    <mergeCell ref="B114:J114"/>
    <mergeCell ref="K114:L114"/>
    <mergeCell ref="M114:N114"/>
    <mergeCell ref="B115:J115"/>
    <mergeCell ref="K115:L115"/>
    <mergeCell ref="M115:N115"/>
    <mergeCell ref="B116:J116"/>
    <mergeCell ref="K116:L116"/>
    <mergeCell ref="M116:N116"/>
    <mergeCell ref="B117:J117"/>
    <mergeCell ref="K117:L117"/>
    <mergeCell ref="M117:N117"/>
    <mergeCell ref="B118:J118"/>
    <mergeCell ref="K118:L118"/>
    <mergeCell ref="M118:N118"/>
    <mergeCell ref="B119:J119"/>
    <mergeCell ref="K119:L119"/>
    <mergeCell ref="M119:N119"/>
    <mergeCell ref="B120:N120"/>
    <mergeCell ref="B121:F122"/>
    <mergeCell ref="G121:H121"/>
    <mergeCell ref="I121:J121"/>
    <mergeCell ref="K121:L121"/>
    <mergeCell ref="K123:L123"/>
    <mergeCell ref="M121:N121"/>
    <mergeCell ref="G122:H122"/>
    <mergeCell ref="I122:J122"/>
    <mergeCell ref="K122:L122"/>
    <mergeCell ref="M122:N122"/>
    <mergeCell ref="K125:L125"/>
    <mergeCell ref="M123:N123"/>
    <mergeCell ref="B124:F124"/>
    <mergeCell ref="G124:H124"/>
    <mergeCell ref="I124:J124"/>
    <mergeCell ref="K124:L124"/>
    <mergeCell ref="M124:N124"/>
    <mergeCell ref="B123:F123"/>
    <mergeCell ref="G123:H123"/>
    <mergeCell ref="I123:J123"/>
    <mergeCell ref="K127:L127"/>
    <mergeCell ref="M125:N125"/>
    <mergeCell ref="B126:F126"/>
    <mergeCell ref="G126:H126"/>
    <mergeCell ref="I126:J126"/>
    <mergeCell ref="K126:L126"/>
    <mergeCell ref="M126:N126"/>
    <mergeCell ref="B125:F125"/>
    <mergeCell ref="G125:H125"/>
    <mergeCell ref="I125:J125"/>
    <mergeCell ref="K129:L129"/>
    <mergeCell ref="M127:N127"/>
    <mergeCell ref="B128:F128"/>
    <mergeCell ref="G128:H128"/>
    <mergeCell ref="I128:J128"/>
    <mergeCell ref="K128:L128"/>
    <mergeCell ref="M128:N128"/>
    <mergeCell ref="B127:F127"/>
    <mergeCell ref="G127:H127"/>
    <mergeCell ref="I127:J127"/>
    <mergeCell ref="K131:L131"/>
    <mergeCell ref="M129:N129"/>
    <mergeCell ref="B130:F130"/>
    <mergeCell ref="G130:H130"/>
    <mergeCell ref="I130:J130"/>
    <mergeCell ref="K130:L130"/>
    <mergeCell ref="M130:N130"/>
    <mergeCell ref="B129:F129"/>
    <mergeCell ref="G129:H129"/>
    <mergeCell ref="I129:J129"/>
    <mergeCell ref="K133:L133"/>
    <mergeCell ref="M131:N131"/>
    <mergeCell ref="B132:F132"/>
    <mergeCell ref="G132:H132"/>
    <mergeCell ref="I132:J132"/>
    <mergeCell ref="K132:L132"/>
    <mergeCell ref="M132:N132"/>
    <mergeCell ref="B131:F131"/>
    <mergeCell ref="G131:H131"/>
    <mergeCell ref="I131:J131"/>
    <mergeCell ref="M133:N133"/>
    <mergeCell ref="B135:L135"/>
    <mergeCell ref="B136:L136"/>
    <mergeCell ref="B137:F137"/>
    <mergeCell ref="G137:H137"/>
    <mergeCell ref="I137:J137"/>
    <mergeCell ref="K137:L137"/>
    <mergeCell ref="B133:F133"/>
    <mergeCell ref="G133:H133"/>
    <mergeCell ref="I133:J133"/>
    <mergeCell ref="B138:F138"/>
    <mergeCell ref="G138:H138"/>
    <mergeCell ref="I138:J138"/>
    <mergeCell ref="K138:L138"/>
    <mergeCell ref="B139:F139"/>
    <mergeCell ref="G139:H139"/>
    <mergeCell ref="I139:J139"/>
    <mergeCell ref="K139:L139"/>
    <mergeCell ref="B140:F140"/>
    <mergeCell ref="G140:H140"/>
    <mergeCell ref="I140:J140"/>
    <mergeCell ref="K140:L140"/>
    <mergeCell ref="B141:L141"/>
    <mergeCell ref="B142:F142"/>
    <mergeCell ref="G142:H142"/>
    <mergeCell ref="I142:J142"/>
    <mergeCell ref="K142:L142"/>
    <mergeCell ref="B143:F143"/>
    <mergeCell ref="G143:H143"/>
    <mergeCell ref="I143:J143"/>
    <mergeCell ref="K143:L143"/>
    <mergeCell ref="B144:F144"/>
    <mergeCell ref="G144:H144"/>
    <mergeCell ref="I144:J144"/>
    <mergeCell ref="K144:L144"/>
    <mergeCell ref="B145:F145"/>
    <mergeCell ref="G145:H145"/>
    <mergeCell ref="I145:J145"/>
    <mergeCell ref="K145:L145"/>
    <mergeCell ref="B146:L146"/>
    <mergeCell ref="B147:L147"/>
    <mergeCell ref="B148:F148"/>
    <mergeCell ref="G148:H148"/>
    <mergeCell ref="I148:J148"/>
    <mergeCell ref="K148:L148"/>
    <mergeCell ref="B149:F149"/>
    <mergeCell ref="G149:H149"/>
    <mergeCell ref="I149:J149"/>
    <mergeCell ref="K149:L149"/>
    <mergeCell ref="B151:L151"/>
    <mergeCell ref="B152:L152"/>
    <mergeCell ref="B153:F153"/>
    <mergeCell ref="G153:H153"/>
    <mergeCell ref="I153:J153"/>
    <mergeCell ref="K153:L153"/>
    <mergeCell ref="B154:F154"/>
    <mergeCell ref="G154:H154"/>
    <mergeCell ref="I154:J154"/>
    <mergeCell ref="K154:L154"/>
    <mergeCell ref="B155:F155"/>
    <mergeCell ref="G155:H155"/>
    <mergeCell ref="I155:J155"/>
    <mergeCell ref="K155:L155"/>
    <mergeCell ref="B156:F156"/>
    <mergeCell ref="G156:H156"/>
    <mergeCell ref="I156:J156"/>
    <mergeCell ref="K156:L156"/>
    <mergeCell ref="B157:L157"/>
    <mergeCell ref="B158:F158"/>
    <mergeCell ref="G158:H158"/>
    <mergeCell ref="I158:J158"/>
    <mergeCell ref="K158:L158"/>
    <mergeCell ref="B159:F159"/>
    <mergeCell ref="G159:H159"/>
    <mergeCell ref="I159:J159"/>
    <mergeCell ref="K159:L159"/>
    <mergeCell ref="B160:F160"/>
    <mergeCell ref="G160:H160"/>
    <mergeCell ref="I160:J160"/>
    <mergeCell ref="K160:L160"/>
    <mergeCell ref="B161:F161"/>
    <mergeCell ref="G161:H161"/>
    <mergeCell ref="I161:J161"/>
    <mergeCell ref="K161:L161"/>
    <mergeCell ref="B162:L162"/>
    <mergeCell ref="B163:L163"/>
    <mergeCell ref="B164:F164"/>
    <mergeCell ref="G164:H164"/>
    <mergeCell ref="I164:J164"/>
    <mergeCell ref="K164:L164"/>
    <mergeCell ref="B165:F165"/>
    <mergeCell ref="G165:H165"/>
    <mergeCell ref="I165:J165"/>
    <mergeCell ref="K165:L16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D10"/>
  <sheetViews>
    <sheetView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51.28125" style="1" customWidth="1"/>
    <col min="3" max="3" width="8.8515625" style="1" customWidth="1"/>
    <col min="4" max="4" width="8.140625" style="1" customWidth="1"/>
    <col min="5" max="16384" width="9.140625" style="1" customWidth="1"/>
  </cols>
  <sheetData>
    <row r="1" spans="2:4" ht="14.25">
      <c r="B1" s="705" t="s">
        <v>648</v>
      </c>
      <c r="C1" s="705"/>
      <c r="D1" s="705"/>
    </row>
    <row r="2" spans="2:4" s="507" customFormat="1" ht="24.75" customHeight="1">
      <c r="B2" s="508" t="s">
        <v>649</v>
      </c>
      <c r="C2" s="508">
        <v>2008</v>
      </c>
      <c r="D2" s="509">
        <v>2007</v>
      </c>
    </row>
    <row r="3" spans="2:4" ht="12.75">
      <c r="B3" s="473" t="s">
        <v>650</v>
      </c>
      <c r="C3" s="473">
        <v>278</v>
      </c>
      <c r="D3" s="486">
        <v>45</v>
      </c>
    </row>
    <row r="4" spans="2:4" ht="12.75">
      <c r="B4" s="473" t="s">
        <v>651</v>
      </c>
      <c r="C4" s="473">
        <v>266</v>
      </c>
      <c r="D4" s="486">
        <v>41</v>
      </c>
    </row>
    <row r="5" spans="2:4" ht="12.75">
      <c r="B5" s="473" t="s">
        <v>652</v>
      </c>
      <c r="C5" s="473"/>
      <c r="D5" s="486"/>
    </row>
    <row r="6" spans="2:4" ht="12.75">
      <c r="B6" s="473" t="s">
        <v>653</v>
      </c>
      <c r="C6" s="473"/>
      <c r="D6" s="486"/>
    </row>
    <row r="7" spans="2:4" ht="12.75">
      <c r="B7" s="473" t="s">
        <v>654</v>
      </c>
      <c r="C7" s="473">
        <v>12</v>
      </c>
      <c r="D7" s="486">
        <v>4</v>
      </c>
    </row>
    <row r="8" spans="2:4" ht="12.75">
      <c r="B8" s="473" t="s">
        <v>655</v>
      </c>
      <c r="C8" s="473"/>
      <c r="D8" s="486"/>
    </row>
    <row r="9" spans="2:4" ht="12.75">
      <c r="B9" s="473"/>
      <c r="C9" s="473"/>
      <c r="D9" s="486"/>
    </row>
    <row r="10" spans="2:4" s="450" customFormat="1" ht="12.75">
      <c r="B10" s="408" t="s">
        <v>411</v>
      </c>
      <c r="C10" s="477">
        <v>278</v>
      </c>
      <c r="D10" s="449">
        <v>45</v>
      </c>
    </row>
    <row r="34" ht="12" customHeight="1"/>
  </sheetData>
  <mergeCells count="1">
    <mergeCell ref="B1:D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K54"/>
  <sheetViews>
    <sheetView workbookViewId="0" topLeftCell="A1">
      <selection activeCell="G42" sqref="G42"/>
    </sheetView>
  </sheetViews>
  <sheetFormatPr defaultColWidth="9.140625" defaultRowHeight="12.75"/>
  <cols>
    <col min="1" max="1" width="5.7109375" style="1" customWidth="1"/>
    <col min="2" max="2" width="16.00390625" style="1" customWidth="1"/>
    <col min="3" max="3" width="20.140625" style="1" customWidth="1"/>
    <col min="4" max="4" width="10.00390625" style="1" customWidth="1"/>
    <col min="5" max="5" width="11.140625" style="1" customWidth="1"/>
    <col min="6" max="6" width="11.421875" style="1" customWidth="1"/>
    <col min="7" max="7" width="11.00390625" style="1" customWidth="1"/>
    <col min="8" max="8" width="11.421875" style="1" customWidth="1"/>
    <col min="9" max="9" width="12.00390625" style="1" customWidth="1"/>
    <col min="10" max="11" width="11.00390625" style="1" customWidth="1"/>
    <col min="12" max="16384" width="9.140625" style="1" customWidth="1"/>
  </cols>
  <sheetData>
    <row r="1" spans="2:11" ht="14.25">
      <c r="B1" s="705" t="s">
        <v>656</v>
      </c>
      <c r="C1" s="705"/>
      <c r="D1" s="705"/>
      <c r="E1" s="705"/>
      <c r="F1" s="705"/>
      <c r="G1" s="705"/>
      <c r="H1" s="705"/>
      <c r="I1" s="705"/>
      <c r="J1" s="705"/>
      <c r="K1" s="705"/>
    </row>
    <row r="2" spans="2:11" ht="12.75">
      <c r="B2" s="699" t="s">
        <v>281</v>
      </c>
      <c r="C2" s="699"/>
      <c r="D2" s="699">
        <v>2008</v>
      </c>
      <c r="E2" s="699"/>
      <c r="F2" s="699"/>
      <c r="G2" s="699"/>
      <c r="H2" s="699">
        <v>2007</v>
      </c>
      <c r="I2" s="699"/>
      <c r="J2" s="699"/>
      <c r="K2" s="699"/>
    </row>
    <row r="3" spans="2:11" ht="12.75">
      <c r="B3" s="510"/>
      <c r="C3" s="511"/>
      <c r="D3" s="511" t="s">
        <v>657</v>
      </c>
      <c r="E3" s="511" t="s">
        <v>658</v>
      </c>
      <c r="F3" s="511" t="s">
        <v>659</v>
      </c>
      <c r="G3" s="511" t="s">
        <v>660</v>
      </c>
      <c r="H3" s="511" t="s">
        <v>657</v>
      </c>
      <c r="I3" s="511" t="s">
        <v>658</v>
      </c>
      <c r="J3" s="511" t="s">
        <v>659</v>
      </c>
      <c r="K3" s="511" t="s">
        <v>660</v>
      </c>
    </row>
    <row r="4" spans="2:11" ht="4.5" customHeight="1">
      <c r="B4" s="510"/>
      <c r="C4" s="511"/>
      <c r="D4" s="511"/>
      <c r="E4" s="511"/>
      <c r="F4" s="511"/>
      <c r="G4" s="511"/>
      <c r="H4" s="511"/>
      <c r="I4" s="511"/>
      <c r="J4" s="511"/>
      <c r="K4" s="511"/>
    </row>
    <row r="5" spans="2:11" ht="12.75">
      <c r="B5" s="715" t="s">
        <v>661</v>
      </c>
      <c r="C5" s="715"/>
      <c r="D5" s="512"/>
      <c r="E5" s="512"/>
      <c r="F5" s="512"/>
      <c r="G5" s="512"/>
      <c r="H5" s="512"/>
      <c r="I5" s="512"/>
      <c r="J5" s="513">
        <f>SUM(J6:J8)</f>
        <v>0</v>
      </c>
      <c r="K5" s="513">
        <f>SUM(K6:K8)</f>
        <v>0</v>
      </c>
    </row>
    <row r="6" spans="2:11" ht="12.75">
      <c r="B6" s="714" t="s">
        <v>333</v>
      </c>
      <c r="C6" s="714"/>
      <c r="D6" s="514"/>
      <c r="E6" s="514"/>
      <c r="F6" s="514"/>
      <c r="G6" s="514"/>
      <c r="H6" s="514"/>
      <c r="I6" s="514"/>
      <c r="J6" s="515"/>
      <c r="K6" s="515"/>
    </row>
    <row r="7" spans="2:11" ht="12.75">
      <c r="B7" s="714" t="s">
        <v>662</v>
      </c>
      <c r="C7" s="714"/>
      <c r="D7" s="514"/>
      <c r="E7" s="514"/>
      <c r="F7" s="514"/>
      <c r="G7" s="514"/>
      <c r="H7" s="514"/>
      <c r="I7" s="514"/>
      <c r="J7" s="515"/>
      <c r="K7" s="515"/>
    </row>
    <row r="8" spans="2:11" ht="12.75">
      <c r="B8" s="714" t="s">
        <v>270</v>
      </c>
      <c r="C8" s="714"/>
      <c r="D8" s="514"/>
      <c r="E8" s="514"/>
      <c r="F8" s="514"/>
      <c r="G8" s="514"/>
      <c r="H8" s="514"/>
      <c r="I8" s="514"/>
      <c r="J8" s="515"/>
      <c r="K8" s="515"/>
    </row>
    <row r="9" spans="2:11" ht="12.75">
      <c r="B9" s="715" t="s">
        <v>270</v>
      </c>
      <c r="C9" s="715"/>
      <c r="D9" s="512"/>
      <c r="E9" s="512"/>
      <c r="F9" s="512"/>
      <c r="G9" s="512"/>
      <c r="H9" s="512"/>
      <c r="I9" s="512"/>
      <c r="J9" s="515"/>
      <c r="K9" s="515"/>
    </row>
    <row r="10" spans="2:11" ht="12.75">
      <c r="B10" s="714" t="s">
        <v>333</v>
      </c>
      <c r="C10" s="714"/>
      <c r="D10" s="514"/>
      <c r="E10" s="514"/>
      <c r="F10" s="514"/>
      <c r="G10" s="514"/>
      <c r="H10" s="514"/>
      <c r="I10" s="514"/>
      <c r="J10" s="515"/>
      <c r="K10" s="515"/>
    </row>
    <row r="11" spans="2:11" ht="12.75">
      <c r="B11" s="714" t="s">
        <v>662</v>
      </c>
      <c r="C11" s="714"/>
      <c r="D11" s="514"/>
      <c r="E11" s="514"/>
      <c r="F11" s="514"/>
      <c r="G11" s="514"/>
      <c r="H11" s="514"/>
      <c r="I11" s="514"/>
      <c r="J11" s="515"/>
      <c r="K11" s="515"/>
    </row>
    <row r="12" spans="2:11" ht="12.75">
      <c r="B12" s="714" t="s">
        <v>334</v>
      </c>
      <c r="C12" s="714"/>
      <c r="D12" s="514"/>
      <c r="E12" s="514"/>
      <c r="F12" s="514"/>
      <c r="G12" s="514"/>
      <c r="H12" s="514"/>
      <c r="I12" s="514"/>
      <c r="J12" s="515"/>
      <c r="K12" s="515"/>
    </row>
    <row r="13" spans="2:11" ht="12.75">
      <c r="B13" s="726" t="s">
        <v>663</v>
      </c>
      <c r="C13" s="726"/>
      <c r="D13" s="514"/>
      <c r="E13" s="514"/>
      <c r="F13" s="514"/>
      <c r="G13" s="514"/>
      <c r="H13" s="514"/>
      <c r="I13" s="514"/>
      <c r="J13" s="515"/>
      <c r="K13" s="515"/>
    </row>
    <row r="14" spans="2:11" ht="12.75">
      <c r="B14" s="726" t="s">
        <v>664</v>
      </c>
      <c r="C14" s="726"/>
      <c r="D14" s="514"/>
      <c r="E14" s="514"/>
      <c r="F14" s="514"/>
      <c r="G14" s="514"/>
      <c r="H14" s="514"/>
      <c r="I14" s="514"/>
      <c r="J14" s="515"/>
      <c r="K14" s="515"/>
    </row>
    <row r="15" spans="2:11" ht="12.75">
      <c r="B15" s="726" t="s">
        <v>665</v>
      </c>
      <c r="C15" s="726"/>
      <c r="D15" s="514"/>
      <c r="E15" s="514"/>
      <c r="F15" s="514"/>
      <c r="G15" s="514"/>
      <c r="H15" s="514"/>
      <c r="I15" s="514"/>
      <c r="J15" s="515"/>
      <c r="K15" s="515"/>
    </row>
    <row r="16" spans="2:11" ht="12.75">
      <c r="B16" s="726" t="s">
        <v>666</v>
      </c>
      <c r="C16" s="726"/>
      <c r="D16" s="514"/>
      <c r="E16" s="514"/>
      <c r="F16" s="514"/>
      <c r="G16" s="514"/>
      <c r="H16" s="514"/>
      <c r="I16" s="514"/>
      <c r="J16" s="515"/>
      <c r="K16" s="515"/>
    </row>
    <row r="17" spans="2:11" ht="12.75">
      <c r="B17" s="726" t="s">
        <v>363</v>
      </c>
      <c r="C17" s="726"/>
      <c r="D17" s="516"/>
      <c r="E17" s="516"/>
      <c r="F17" s="516"/>
      <c r="G17" s="516"/>
      <c r="H17" s="516"/>
      <c r="I17" s="516"/>
      <c r="J17" s="515"/>
      <c r="K17" s="515"/>
    </row>
    <row r="18" spans="2:11" ht="12.75">
      <c r="B18" s="726" t="s">
        <v>365</v>
      </c>
      <c r="C18" s="726"/>
      <c r="D18" s="516"/>
      <c r="E18" s="516"/>
      <c r="F18" s="516"/>
      <c r="G18" s="516"/>
      <c r="H18" s="516"/>
      <c r="I18" s="516"/>
      <c r="J18" s="515"/>
      <c r="K18" s="515"/>
    </row>
    <row r="19" spans="2:11" ht="12.75">
      <c r="B19" s="715" t="s">
        <v>667</v>
      </c>
      <c r="C19" s="715"/>
      <c r="D19" s="512"/>
      <c r="E19" s="512"/>
      <c r="F19" s="512"/>
      <c r="G19" s="512"/>
      <c r="H19" s="512"/>
      <c r="I19" s="512"/>
      <c r="J19" s="515"/>
      <c r="K19" s="515"/>
    </row>
    <row r="20" spans="2:11" ht="12.75">
      <c r="B20" s="517"/>
      <c r="C20" s="518"/>
      <c r="D20" s="512"/>
      <c r="E20" s="512"/>
      <c r="F20" s="512"/>
      <c r="G20" s="512"/>
      <c r="H20" s="512"/>
      <c r="I20" s="512"/>
      <c r="J20" s="515"/>
      <c r="K20" s="515"/>
    </row>
    <row r="21" spans="2:11" ht="12.75">
      <c r="B21" s="517"/>
      <c r="C21" s="518"/>
      <c r="D21" s="512"/>
      <c r="E21" s="512"/>
      <c r="F21" s="512"/>
      <c r="G21" s="512"/>
      <c r="H21" s="512"/>
      <c r="I21" s="512"/>
      <c r="J21" s="515"/>
      <c r="K21" s="515"/>
    </row>
    <row r="22" spans="2:11" ht="12.75">
      <c r="B22" s="517"/>
      <c r="C22" s="518"/>
      <c r="D22" s="512"/>
      <c r="E22" s="512"/>
      <c r="F22" s="512"/>
      <c r="G22" s="512"/>
      <c r="H22" s="512"/>
      <c r="I22" s="512"/>
      <c r="J22" s="515"/>
      <c r="K22" s="515"/>
    </row>
    <row r="23" spans="2:11" ht="12.75">
      <c r="B23" s="688" t="s">
        <v>231</v>
      </c>
      <c r="C23" s="688"/>
      <c r="D23" s="519">
        <f>SUM(D5:D22)</f>
        <v>0</v>
      </c>
      <c r="E23" s="519">
        <f aca="true" t="shared" si="0" ref="E23:K23">SUM(E5:E22)</f>
        <v>0</v>
      </c>
      <c r="F23" s="519">
        <f t="shared" si="0"/>
        <v>0</v>
      </c>
      <c r="G23" s="519">
        <f t="shared" si="0"/>
        <v>0</v>
      </c>
      <c r="H23" s="519">
        <f t="shared" si="0"/>
        <v>0</v>
      </c>
      <c r="I23" s="519">
        <f t="shared" si="0"/>
        <v>0</v>
      </c>
      <c r="J23" s="519">
        <f t="shared" si="0"/>
        <v>0</v>
      </c>
      <c r="K23" s="519">
        <f t="shared" si="0"/>
        <v>0</v>
      </c>
    </row>
    <row r="24" spans="2:11" ht="14.25">
      <c r="B24" s="705" t="s">
        <v>668</v>
      </c>
      <c r="C24" s="705"/>
      <c r="D24" s="705"/>
      <c r="E24" s="705"/>
      <c r="F24" s="705"/>
      <c r="G24" s="705"/>
      <c r="H24" s="705"/>
      <c r="I24" s="705"/>
      <c r="J24" s="705"/>
      <c r="K24" s="705"/>
    </row>
    <row r="25" spans="2:11" ht="12.75">
      <c r="B25" s="699" t="s">
        <v>281</v>
      </c>
      <c r="C25" s="699"/>
      <c r="D25" s="699">
        <v>2008</v>
      </c>
      <c r="E25" s="699"/>
      <c r="F25" s="699"/>
      <c r="G25" s="699"/>
      <c r="H25" s="699">
        <v>2008</v>
      </c>
      <c r="I25" s="699"/>
      <c r="J25" s="699"/>
      <c r="K25" s="699"/>
    </row>
    <row r="26" spans="2:11" ht="12.75">
      <c r="B26" s="510"/>
      <c r="C26" s="511" t="s">
        <v>98</v>
      </c>
      <c r="D26" s="511" t="s">
        <v>657</v>
      </c>
      <c r="E26" s="511" t="s">
        <v>658</v>
      </c>
      <c r="F26" s="511" t="s">
        <v>659</v>
      </c>
      <c r="G26" s="511" t="s">
        <v>660</v>
      </c>
      <c r="H26" s="511" t="s">
        <v>657</v>
      </c>
      <c r="I26" s="511" t="s">
        <v>658</v>
      </c>
      <c r="J26" s="511" t="s">
        <v>659</v>
      </c>
      <c r="K26" s="511" t="s">
        <v>660</v>
      </c>
    </row>
    <row r="27" spans="2:11" ht="3.75" customHeight="1">
      <c r="B27" s="510"/>
      <c r="C27" s="511"/>
      <c r="D27" s="511"/>
      <c r="E27" s="511"/>
      <c r="F27" s="511"/>
      <c r="G27" s="511"/>
      <c r="H27" s="511"/>
      <c r="I27" s="511"/>
      <c r="J27" s="511"/>
      <c r="K27" s="511"/>
    </row>
    <row r="28" spans="2:11" ht="12.75">
      <c r="B28" s="715" t="s">
        <v>472</v>
      </c>
      <c r="C28" s="715"/>
      <c r="D28" s="512"/>
      <c r="E28" s="512"/>
      <c r="F28" s="512"/>
      <c r="G28" s="512"/>
      <c r="H28" s="512"/>
      <c r="I28" s="512"/>
      <c r="J28" s="513">
        <f>SUM(J29:J31)</f>
        <v>0</v>
      </c>
      <c r="K28" s="513">
        <f>SUM(K29:K31)</f>
        <v>0</v>
      </c>
    </row>
    <row r="29" spans="2:11" ht="12.75">
      <c r="B29" s="714" t="s">
        <v>473</v>
      </c>
      <c r="C29" s="714"/>
      <c r="D29" s="514"/>
      <c r="E29" s="514"/>
      <c r="F29" s="514"/>
      <c r="G29" s="514"/>
      <c r="H29" s="514"/>
      <c r="I29" s="514"/>
      <c r="J29" s="515"/>
      <c r="K29" s="515"/>
    </row>
    <row r="30" spans="2:11" ht="12.75">
      <c r="B30" s="714" t="s">
        <v>669</v>
      </c>
      <c r="C30" s="714"/>
      <c r="D30" s="514"/>
      <c r="E30" s="514"/>
      <c r="F30" s="514"/>
      <c r="G30" s="514"/>
      <c r="H30" s="514"/>
      <c r="I30" s="514"/>
      <c r="J30" s="515"/>
      <c r="K30" s="515"/>
    </row>
    <row r="31" spans="2:11" ht="12.75">
      <c r="B31" s="714" t="s">
        <v>449</v>
      </c>
      <c r="C31" s="714"/>
      <c r="D31" s="514"/>
      <c r="E31" s="514"/>
      <c r="F31" s="514"/>
      <c r="G31" s="514"/>
      <c r="H31" s="514"/>
      <c r="I31" s="514"/>
      <c r="J31" s="515"/>
      <c r="K31" s="515"/>
    </row>
    <row r="32" spans="2:11" ht="12.75">
      <c r="B32" s="715" t="s">
        <v>670</v>
      </c>
      <c r="C32" s="715"/>
      <c r="D32" s="512"/>
      <c r="E32" s="512"/>
      <c r="F32" s="512"/>
      <c r="G32" s="512"/>
      <c r="H32" s="512"/>
      <c r="I32" s="512"/>
      <c r="J32" s="515"/>
      <c r="K32" s="515"/>
    </row>
    <row r="33" spans="2:11" ht="12.75">
      <c r="B33" s="715" t="s">
        <v>449</v>
      </c>
      <c r="C33" s="715"/>
      <c r="D33" s="512"/>
      <c r="E33" s="512"/>
      <c r="F33" s="512"/>
      <c r="G33" s="512"/>
      <c r="H33" s="512"/>
      <c r="I33" s="512"/>
      <c r="J33" s="513">
        <f>SUM(J34:J41)</f>
        <v>0</v>
      </c>
      <c r="K33" s="513">
        <f>SUM(K34:K41)</f>
        <v>0</v>
      </c>
    </row>
    <row r="34" spans="2:11" ht="12.75">
      <c r="B34" s="714" t="s">
        <v>473</v>
      </c>
      <c r="C34" s="714"/>
      <c r="D34" s="514"/>
      <c r="E34" s="514"/>
      <c r="F34" s="514"/>
      <c r="G34" s="514"/>
      <c r="H34" s="514"/>
      <c r="I34" s="514"/>
      <c r="J34" s="515"/>
      <c r="K34" s="515"/>
    </row>
    <row r="35" spans="2:11" ht="12.75">
      <c r="B35" s="714" t="s">
        <v>669</v>
      </c>
      <c r="C35" s="714"/>
      <c r="D35" s="514"/>
      <c r="E35" s="514"/>
      <c r="F35" s="514"/>
      <c r="G35" s="514"/>
      <c r="H35" s="514"/>
      <c r="I35" s="514"/>
      <c r="J35" s="515"/>
      <c r="K35" s="515"/>
    </row>
    <row r="36" spans="2:11" ht="12.75">
      <c r="B36" s="714" t="s">
        <v>474</v>
      </c>
      <c r="C36" s="714"/>
      <c r="D36" s="514"/>
      <c r="E36" s="514"/>
      <c r="F36" s="514"/>
      <c r="G36" s="514"/>
      <c r="H36" s="514"/>
      <c r="I36" s="514"/>
      <c r="J36" s="515"/>
      <c r="K36" s="515"/>
    </row>
    <row r="37" spans="2:11" ht="12.75">
      <c r="B37" s="715" t="s">
        <v>163</v>
      </c>
      <c r="C37" s="715"/>
      <c r="D37" s="512"/>
      <c r="E37" s="512"/>
      <c r="F37" s="512"/>
      <c r="G37" s="512"/>
      <c r="H37" s="512"/>
      <c r="I37" s="512"/>
      <c r="J37" s="515"/>
      <c r="K37" s="515"/>
    </row>
    <row r="38" spans="2:11" ht="12.75">
      <c r="B38" s="714" t="s">
        <v>671</v>
      </c>
      <c r="C38" s="714"/>
      <c r="D38" s="512"/>
      <c r="E38" s="512"/>
      <c r="F38" s="512"/>
      <c r="G38" s="512"/>
      <c r="H38" s="512"/>
      <c r="I38" s="512"/>
      <c r="J38" s="515"/>
      <c r="K38" s="515"/>
    </row>
    <row r="39" spans="2:11" ht="12.75">
      <c r="B39" s="727" t="s">
        <v>672</v>
      </c>
      <c r="C39" s="727"/>
      <c r="D39" s="512"/>
      <c r="E39" s="512"/>
      <c r="F39" s="512"/>
      <c r="G39" s="512"/>
      <c r="H39" s="512"/>
      <c r="I39" s="512"/>
      <c r="J39" s="515"/>
      <c r="K39" s="515"/>
    </row>
    <row r="40" spans="2:11" ht="12.75">
      <c r="B40" s="727" t="s">
        <v>673</v>
      </c>
      <c r="C40" s="727"/>
      <c r="D40" s="512"/>
      <c r="E40" s="512"/>
      <c r="F40" s="512"/>
      <c r="G40" s="512"/>
      <c r="H40" s="512"/>
      <c r="I40" s="512"/>
      <c r="J40" s="515"/>
      <c r="K40" s="515"/>
    </row>
    <row r="41" spans="2:11" ht="12.75">
      <c r="B41" s="726" t="s">
        <v>674</v>
      </c>
      <c r="C41" s="726"/>
      <c r="D41" s="514"/>
      <c r="E41" s="514"/>
      <c r="F41" s="514"/>
      <c r="G41" s="514"/>
      <c r="H41" s="514"/>
      <c r="I41" s="514"/>
      <c r="J41" s="515"/>
      <c r="K41" s="515"/>
    </row>
    <row r="42" spans="2:11" ht="12.75">
      <c r="B42" s="726" t="s">
        <v>675</v>
      </c>
      <c r="C42" s="726"/>
      <c r="D42" s="514"/>
      <c r="E42" s="514"/>
      <c r="F42" s="514"/>
      <c r="G42" s="514"/>
      <c r="H42" s="514"/>
      <c r="I42" s="514"/>
      <c r="J42" s="515">
        <f>SUM(J49:J51)</f>
        <v>0</v>
      </c>
      <c r="K42" s="515">
        <f>SUM(K49:K51)</f>
        <v>0</v>
      </c>
    </row>
    <row r="43" spans="2:11" ht="12.75">
      <c r="B43" s="726" t="s">
        <v>373</v>
      </c>
      <c r="C43" s="726"/>
      <c r="D43" s="514"/>
      <c r="E43" s="514"/>
      <c r="F43" s="514"/>
      <c r="G43" s="514"/>
      <c r="H43" s="514"/>
      <c r="I43" s="514"/>
      <c r="J43" s="515"/>
      <c r="K43" s="515"/>
    </row>
    <row r="44" spans="2:11" ht="12.75">
      <c r="B44" s="726" t="s">
        <v>371</v>
      </c>
      <c r="C44" s="726"/>
      <c r="D44" s="514"/>
      <c r="E44" s="514"/>
      <c r="F44" s="514"/>
      <c r="G44" s="514"/>
      <c r="H44" s="514"/>
      <c r="I44" s="514"/>
      <c r="J44" s="515"/>
      <c r="K44" s="515"/>
    </row>
    <row r="45" spans="2:11" ht="12.75">
      <c r="B45" s="727" t="s">
        <v>165</v>
      </c>
      <c r="C45" s="727"/>
      <c r="D45" s="512"/>
      <c r="E45" s="512"/>
      <c r="F45" s="512"/>
      <c r="G45" s="512"/>
      <c r="H45" s="512"/>
      <c r="I45" s="512"/>
      <c r="J45" s="515"/>
      <c r="K45" s="515"/>
    </row>
    <row r="46" spans="2:11" ht="12.75">
      <c r="B46" s="727" t="s">
        <v>482</v>
      </c>
      <c r="C46" s="727"/>
      <c r="D46" s="512"/>
      <c r="E46" s="512"/>
      <c r="F46" s="512"/>
      <c r="G46" s="512"/>
      <c r="H46" s="512"/>
      <c r="I46" s="512"/>
      <c r="J46" s="515"/>
      <c r="K46" s="515"/>
    </row>
    <row r="47" spans="2:11" ht="12.75">
      <c r="B47" s="726" t="s">
        <v>676</v>
      </c>
      <c r="C47" s="726"/>
      <c r="D47" s="516"/>
      <c r="E47" s="516"/>
      <c r="F47" s="516"/>
      <c r="G47" s="516"/>
      <c r="H47" s="516"/>
      <c r="I47" s="516"/>
      <c r="J47" s="515"/>
      <c r="K47" s="515"/>
    </row>
    <row r="48" spans="2:11" ht="12.75">
      <c r="B48" s="726" t="s">
        <v>485</v>
      </c>
      <c r="C48" s="726"/>
      <c r="D48" s="516"/>
      <c r="E48" s="516"/>
      <c r="F48" s="516"/>
      <c r="G48" s="516"/>
      <c r="H48" s="516"/>
      <c r="I48" s="516"/>
      <c r="J48" s="515"/>
      <c r="K48" s="515"/>
    </row>
    <row r="49" spans="2:11" ht="12.75">
      <c r="B49" s="696" t="s">
        <v>677</v>
      </c>
      <c r="C49" s="696"/>
      <c r="D49" s="520"/>
      <c r="E49" s="520"/>
      <c r="F49" s="520"/>
      <c r="G49" s="520"/>
      <c r="H49" s="520"/>
      <c r="I49" s="520"/>
      <c r="J49" s="515"/>
      <c r="K49" s="515"/>
    </row>
    <row r="50" spans="2:11" ht="12.75">
      <c r="B50" s="696" t="s">
        <v>677</v>
      </c>
      <c r="C50" s="696"/>
      <c r="D50" s="520"/>
      <c r="E50" s="520"/>
      <c r="F50" s="520"/>
      <c r="G50" s="520"/>
      <c r="H50" s="520"/>
      <c r="I50" s="520"/>
      <c r="J50" s="515"/>
      <c r="K50" s="515"/>
    </row>
    <row r="51" spans="2:11" ht="12.75">
      <c r="B51" s="696" t="s">
        <v>677</v>
      </c>
      <c r="C51" s="696"/>
      <c r="D51" s="520"/>
      <c r="E51" s="520"/>
      <c r="F51" s="520"/>
      <c r="G51" s="520"/>
      <c r="H51" s="520"/>
      <c r="I51" s="520"/>
      <c r="J51" s="515"/>
      <c r="K51" s="515"/>
    </row>
    <row r="52" spans="2:11" ht="12.75">
      <c r="B52" s="688" t="s">
        <v>231</v>
      </c>
      <c r="C52" s="688"/>
      <c r="D52" s="519">
        <f>SUM(D28:D51)</f>
        <v>0</v>
      </c>
      <c r="E52" s="519">
        <f aca="true" t="shared" si="1" ref="E52:K52">SUM(E28:E51)</f>
        <v>0</v>
      </c>
      <c r="F52" s="519">
        <f t="shared" si="1"/>
        <v>0</v>
      </c>
      <c r="G52" s="519">
        <f t="shared" si="1"/>
        <v>0</v>
      </c>
      <c r="H52" s="519">
        <f t="shared" si="1"/>
        <v>0</v>
      </c>
      <c r="I52" s="519">
        <f t="shared" si="1"/>
        <v>0</v>
      </c>
      <c r="J52" s="519">
        <f t="shared" si="1"/>
        <v>0</v>
      </c>
      <c r="K52" s="519">
        <f t="shared" si="1"/>
        <v>0</v>
      </c>
    </row>
    <row r="53" spans="4:11" ht="12.75">
      <c r="D53" s="521"/>
      <c r="E53" s="521"/>
      <c r="F53" s="521"/>
      <c r="G53" s="521"/>
      <c r="H53" s="521"/>
      <c r="I53" s="521"/>
      <c r="J53" s="521"/>
      <c r="K53" s="521"/>
    </row>
    <row r="54" spans="2:11" ht="12.75">
      <c r="B54" s="688" t="s">
        <v>678</v>
      </c>
      <c r="C54" s="688"/>
      <c r="D54" s="519">
        <f>D23-D52</f>
        <v>0</v>
      </c>
      <c r="E54" s="519">
        <f aca="true" t="shared" si="2" ref="E54:K54">E23-E52</f>
        <v>0</v>
      </c>
      <c r="F54" s="519">
        <f t="shared" si="2"/>
        <v>0</v>
      </c>
      <c r="G54" s="519">
        <f t="shared" si="2"/>
        <v>0</v>
      </c>
      <c r="H54" s="519">
        <f t="shared" si="2"/>
        <v>0</v>
      </c>
      <c r="I54" s="519">
        <f t="shared" si="2"/>
        <v>0</v>
      </c>
      <c r="J54" s="519">
        <f t="shared" si="2"/>
        <v>0</v>
      </c>
      <c r="K54" s="519">
        <f t="shared" si="2"/>
        <v>0</v>
      </c>
    </row>
  </sheetData>
  <mergeCells count="50">
    <mergeCell ref="B1:K1"/>
    <mergeCell ref="B2:C2"/>
    <mergeCell ref="D2:G2"/>
    <mergeCell ref="H2:K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3:C23"/>
    <mergeCell ref="B24:K24"/>
    <mergeCell ref="B25:C25"/>
    <mergeCell ref="D25:G25"/>
    <mergeCell ref="H25:K2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2:C52"/>
    <mergeCell ref="B54:C54"/>
    <mergeCell ref="B48:C48"/>
    <mergeCell ref="B49:C49"/>
    <mergeCell ref="B50:C50"/>
    <mergeCell ref="B51:C5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C32"/>
  <sheetViews>
    <sheetView workbookViewId="0" topLeftCell="A13">
      <selection activeCell="E21" sqref="E21"/>
    </sheetView>
  </sheetViews>
  <sheetFormatPr defaultColWidth="9.140625" defaultRowHeight="12.75"/>
  <cols>
    <col min="1" max="1" width="41.140625" style="172" customWidth="1"/>
    <col min="2" max="2" width="18.28125" style="172" customWidth="1"/>
    <col min="3" max="3" width="14.7109375" style="172" customWidth="1"/>
    <col min="4" max="16384" width="9.140625" style="172" customWidth="1"/>
  </cols>
  <sheetData>
    <row r="3" ht="15.75">
      <c r="A3" s="522" t="s">
        <v>679</v>
      </c>
    </row>
    <row r="5" spans="1:3" ht="15.75">
      <c r="A5" s="523"/>
      <c r="B5" s="523"/>
      <c r="C5" s="523"/>
    </row>
    <row r="7" spans="1:3" ht="15.75">
      <c r="A7" s="524"/>
      <c r="B7" s="525">
        <v>2008</v>
      </c>
      <c r="C7" s="525">
        <v>2007</v>
      </c>
    </row>
    <row r="8" spans="1:3" ht="15.75">
      <c r="A8" s="524"/>
      <c r="B8" s="525" t="s">
        <v>680</v>
      </c>
      <c r="C8" s="525" t="s">
        <v>681</v>
      </c>
    </row>
    <row r="9" spans="1:3" ht="15.75">
      <c r="A9" s="526" t="s">
        <v>100</v>
      </c>
      <c r="B9" s="527"/>
      <c r="C9" s="527"/>
    </row>
    <row r="10" spans="1:3" ht="37.5" customHeight="1">
      <c r="A10" s="528" t="s">
        <v>682</v>
      </c>
      <c r="B10" s="529"/>
      <c r="C10" s="529"/>
    </row>
    <row r="11" spans="1:3" ht="38.25" customHeight="1">
      <c r="A11" s="528" t="s">
        <v>683</v>
      </c>
      <c r="B11" s="529"/>
      <c r="C11" s="529"/>
    </row>
    <row r="12" spans="1:3" ht="15.75">
      <c r="A12" s="528"/>
      <c r="B12" s="530"/>
      <c r="C12" s="531"/>
    </row>
    <row r="13" spans="1:3" ht="15.75">
      <c r="A13" s="532" t="s">
        <v>115</v>
      </c>
      <c r="B13" s="533"/>
      <c r="C13" s="533"/>
    </row>
    <row r="14" spans="1:3" ht="41.25" customHeight="1">
      <c r="A14" s="534" t="s">
        <v>684</v>
      </c>
      <c r="B14" s="530"/>
      <c r="C14" s="530"/>
    </row>
    <row r="15" spans="1:3" ht="65.25" customHeight="1">
      <c r="A15" s="534" t="s">
        <v>685</v>
      </c>
      <c r="B15" s="530"/>
      <c r="C15" s="530"/>
    </row>
    <row r="16" spans="1:3" ht="23.25" customHeight="1">
      <c r="A16" s="534" t="s">
        <v>686</v>
      </c>
      <c r="B16" s="530" t="s">
        <v>98</v>
      </c>
      <c r="C16" s="530"/>
    </row>
    <row r="17" spans="1:3" ht="22.5" customHeight="1">
      <c r="A17" s="534" t="s">
        <v>687</v>
      </c>
      <c r="B17" s="530"/>
      <c r="C17" s="530"/>
    </row>
    <row r="18" spans="1:3" ht="15.75">
      <c r="A18" s="535" t="s">
        <v>688</v>
      </c>
      <c r="B18" s="531" t="s">
        <v>98</v>
      </c>
      <c r="C18" s="531"/>
    </row>
    <row r="19" spans="1:3" ht="15.75">
      <c r="A19" s="535"/>
      <c r="B19" s="536"/>
      <c r="C19" s="536"/>
    </row>
    <row r="20" spans="1:3" ht="15.75">
      <c r="A20" s="532" t="s">
        <v>689</v>
      </c>
      <c r="B20" s="536"/>
      <c r="C20" s="536"/>
    </row>
    <row r="21" spans="1:3" ht="15.75">
      <c r="A21" s="537" t="s">
        <v>690</v>
      </c>
      <c r="B21" s="530"/>
      <c r="C21" s="530"/>
    </row>
    <row r="22" spans="1:3" ht="77.25" customHeight="1">
      <c r="A22" s="534" t="s">
        <v>691</v>
      </c>
      <c r="B22" s="530"/>
      <c r="C22" s="530"/>
    </row>
    <row r="23" spans="1:3" ht="62.25" customHeight="1">
      <c r="A23" s="534" t="s">
        <v>692</v>
      </c>
      <c r="B23" s="530"/>
      <c r="C23" s="530"/>
    </row>
    <row r="24" spans="1:3" ht="15.75">
      <c r="A24" s="537"/>
      <c r="B24" s="533"/>
      <c r="C24" s="533"/>
    </row>
    <row r="25" spans="1:3" ht="15.75">
      <c r="A25" s="526" t="s">
        <v>156</v>
      </c>
      <c r="B25" s="530"/>
      <c r="C25" s="530"/>
    </row>
    <row r="26" spans="1:3" ht="15.75">
      <c r="A26" s="535" t="s">
        <v>690</v>
      </c>
      <c r="B26" s="536"/>
      <c r="C26" s="536"/>
    </row>
    <row r="27" spans="1:3" ht="68.25" customHeight="1">
      <c r="A27" s="534" t="s">
        <v>691</v>
      </c>
      <c r="B27" s="530"/>
      <c r="C27" s="530"/>
    </row>
    <row r="28" spans="1:3" ht="48" customHeight="1">
      <c r="A28" s="534" t="s">
        <v>692</v>
      </c>
      <c r="B28" s="531"/>
      <c r="C28" s="536"/>
    </row>
    <row r="29" spans="1:3" ht="34.5" customHeight="1">
      <c r="A29" s="534" t="s">
        <v>684</v>
      </c>
      <c r="B29" s="530"/>
      <c r="C29" s="530"/>
    </row>
    <row r="30" spans="1:3" ht="57.75" customHeight="1">
      <c r="A30" s="528" t="s">
        <v>693</v>
      </c>
      <c r="B30" s="530"/>
      <c r="C30" s="530"/>
    </row>
    <row r="31" spans="1:3" ht="21.75" customHeight="1">
      <c r="A31" s="534" t="s">
        <v>694</v>
      </c>
      <c r="B31" s="530" t="s">
        <v>98</v>
      </c>
      <c r="C31" s="530"/>
    </row>
    <row r="32" spans="1:3" ht="51" customHeight="1">
      <c r="A32" s="534" t="s">
        <v>692</v>
      </c>
      <c r="B32" s="530"/>
      <c r="C32" s="53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H44"/>
  <sheetViews>
    <sheetView workbookViewId="0" topLeftCell="A14">
      <selection activeCell="C32" sqref="C32"/>
    </sheetView>
  </sheetViews>
  <sheetFormatPr defaultColWidth="9.140625" defaultRowHeight="12.75"/>
  <cols>
    <col min="1" max="1" width="31.28125" style="0" customWidth="1"/>
  </cols>
  <sheetData>
    <row r="3" spans="1:8" ht="12.75">
      <c r="A3" s="538" t="s">
        <v>695</v>
      </c>
      <c r="B3" s="538"/>
      <c r="C3" s="538"/>
      <c r="D3" s="538"/>
      <c r="E3" s="538"/>
      <c r="F3" s="539"/>
      <c r="G3" s="539"/>
      <c r="H3" s="539"/>
    </row>
    <row r="4" spans="1:8" ht="12.75">
      <c r="A4" s="539"/>
      <c r="B4" s="539"/>
      <c r="C4" s="539"/>
      <c r="D4" s="539"/>
      <c r="E4" s="539"/>
      <c r="F4" s="539"/>
      <c r="G4" s="539"/>
      <c r="H4" s="539"/>
    </row>
    <row r="5" spans="1:8" ht="12.75">
      <c r="A5" s="539"/>
      <c r="B5" s="539"/>
      <c r="C5" s="539"/>
      <c r="D5" s="539"/>
      <c r="E5" s="539"/>
      <c r="F5" s="539"/>
      <c r="G5" s="539"/>
      <c r="H5" s="539"/>
    </row>
    <row r="6" spans="1:6" ht="12.75">
      <c r="A6" s="540" t="s">
        <v>696</v>
      </c>
      <c r="B6" s="541"/>
      <c r="C6" s="542"/>
      <c r="D6" s="539"/>
      <c r="E6" s="539"/>
      <c r="F6" s="539"/>
    </row>
    <row r="7" spans="1:6" ht="12.75">
      <c r="A7" s="543"/>
      <c r="B7" s="544"/>
      <c r="C7" s="545"/>
      <c r="D7" s="539"/>
      <c r="E7" s="539"/>
      <c r="F7" s="539"/>
    </row>
    <row r="8" spans="1:6" ht="12.75">
      <c r="A8" s="543" t="s">
        <v>697</v>
      </c>
      <c r="B8" s="544"/>
      <c r="C8" s="546">
        <v>788</v>
      </c>
      <c r="D8" s="539"/>
      <c r="E8" s="539"/>
      <c r="F8" s="539"/>
    </row>
    <row r="9" spans="1:6" ht="12.75">
      <c r="A9" s="543" t="s">
        <v>698</v>
      </c>
      <c r="B9" s="544"/>
      <c r="C9" s="545"/>
      <c r="D9" s="539"/>
      <c r="E9" s="539"/>
      <c r="F9" s="539"/>
    </row>
    <row r="10" spans="1:6" ht="12.75">
      <c r="A10" s="543"/>
      <c r="B10" s="544"/>
      <c r="C10" s="545"/>
      <c r="D10" s="539"/>
      <c r="E10" s="539"/>
      <c r="F10" s="539"/>
    </row>
    <row r="11" spans="1:6" ht="12.75">
      <c r="A11" s="543" t="s">
        <v>699</v>
      </c>
      <c r="B11" s="544"/>
      <c r="C11" s="545"/>
      <c r="D11" s="539"/>
      <c r="E11" s="539"/>
      <c r="F11" s="539"/>
    </row>
    <row r="12" spans="1:6" ht="12.75">
      <c r="A12" s="543" t="s">
        <v>700</v>
      </c>
      <c r="B12" s="544"/>
      <c r="C12" s="546">
        <v>109</v>
      </c>
      <c r="D12" s="539"/>
      <c r="E12" s="539"/>
      <c r="F12" s="539"/>
    </row>
    <row r="13" spans="1:6" ht="12.75">
      <c r="A13" s="543" t="s">
        <v>701</v>
      </c>
      <c r="B13" s="544"/>
      <c r="C13" s="546"/>
      <c r="D13" s="539"/>
      <c r="E13" s="539"/>
      <c r="F13" s="539"/>
    </row>
    <row r="14" spans="1:6" ht="12.75">
      <c r="A14" s="543" t="s">
        <v>702</v>
      </c>
      <c r="B14" s="544"/>
      <c r="C14" s="546"/>
      <c r="D14" s="539"/>
      <c r="E14" s="539"/>
      <c r="F14" s="539"/>
    </row>
    <row r="15" spans="1:6" ht="12.75">
      <c r="A15" s="543" t="s">
        <v>703</v>
      </c>
      <c r="B15" s="544"/>
      <c r="C15" s="546"/>
      <c r="D15" s="539"/>
      <c r="E15" s="539"/>
      <c r="F15" s="539"/>
    </row>
    <row r="16" spans="1:6" ht="12.75">
      <c r="A16" s="543" t="s">
        <v>704</v>
      </c>
      <c r="B16" s="544"/>
      <c r="C16" s="546">
        <v>3</v>
      </c>
      <c r="D16" s="539"/>
      <c r="E16" s="539"/>
      <c r="F16" s="539"/>
    </row>
    <row r="17" spans="1:6" ht="12.75">
      <c r="A17" s="543"/>
      <c r="B17" s="544"/>
      <c r="C17" s="545"/>
      <c r="D17" s="539"/>
      <c r="E17" s="539"/>
      <c r="F17" s="539"/>
    </row>
    <row r="18" spans="1:6" ht="12.75">
      <c r="A18" s="547" t="s">
        <v>705</v>
      </c>
      <c r="B18" s="548"/>
      <c r="C18" s="549">
        <f>C8-C12-C13-C14-C15-C16</f>
        <v>676</v>
      </c>
      <c r="D18" s="539"/>
      <c r="E18" s="539"/>
      <c r="F18" s="539"/>
    </row>
    <row r="19" spans="1:8" ht="12.75">
      <c r="A19" s="539"/>
      <c r="B19" s="539"/>
      <c r="C19" s="539"/>
      <c r="D19" s="539"/>
      <c r="E19" s="539"/>
      <c r="F19" s="539"/>
      <c r="G19" s="539"/>
      <c r="H19" s="539"/>
    </row>
    <row r="20" spans="1:8" ht="12.75">
      <c r="A20" s="539"/>
      <c r="B20" s="539"/>
      <c r="C20" s="539"/>
      <c r="D20" s="539"/>
      <c r="E20" s="539"/>
      <c r="F20" s="539"/>
      <c r="G20" s="539"/>
      <c r="H20" s="539"/>
    </row>
    <row r="21" spans="1:8" ht="12.75">
      <c r="A21" s="539"/>
      <c r="B21" s="539"/>
      <c r="C21" s="539"/>
      <c r="D21" s="539"/>
      <c r="E21" s="539"/>
      <c r="F21" s="539"/>
      <c r="G21" s="539"/>
      <c r="H21" s="539"/>
    </row>
    <row r="22" spans="1:8" ht="12.75">
      <c r="A22" s="539"/>
      <c r="B22" s="539"/>
      <c r="C22" s="539"/>
      <c r="D22" s="539"/>
      <c r="E22" s="539"/>
      <c r="F22" s="539"/>
      <c r="G22" s="539"/>
      <c r="H22" s="539"/>
    </row>
    <row r="23" spans="1:8" ht="12.75">
      <c r="A23" s="539"/>
      <c r="B23" s="539"/>
      <c r="C23" s="539"/>
      <c r="D23" s="539"/>
      <c r="E23" s="539"/>
      <c r="F23" s="539"/>
      <c r="G23" s="539"/>
      <c r="H23" s="539"/>
    </row>
    <row r="24" spans="1:8" ht="12.75">
      <c r="A24" s="540" t="s">
        <v>706</v>
      </c>
      <c r="B24" s="541"/>
      <c r="C24" s="541"/>
      <c r="D24" s="541"/>
      <c r="E24" s="541"/>
      <c r="F24" s="541"/>
      <c r="G24" s="541"/>
      <c r="H24" s="542"/>
    </row>
    <row r="25" spans="1:8" ht="12.75">
      <c r="A25" s="543"/>
      <c r="B25" s="544"/>
      <c r="C25" s="544"/>
      <c r="D25" s="544"/>
      <c r="E25" s="544"/>
      <c r="F25" s="544"/>
      <c r="G25" s="544"/>
      <c r="H25" s="545"/>
    </row>
    <row r="26" spans="1:8" ht="12.75">
      <c r="A26" s="543" t="s">
        <v>707</v>
      </c>
      <c r="B26" s="544"/>
      <c r="C26" s="544" t="s">
        <v>708</v>
      </c>
      <c r="D26" s="544"/>
      <c r="E26" s="544"/>
      <c r="F26" s="544"/>
      <c r="G26" s="544"/>
      <c r="H26" s="545"/>
    </row>
    <row r="27" spans="1:8" ht="12.75">
      <c r="A27" s="543"/>
      <c r="B27" s="544"/>
      <c r="C27" s="544" t="s">
        <v>709</v>
      </c>
      <c r="D27" s="544"/>
      <c r="E27" s="544"/>
      <c r="F27" s="544"/>
      <c r="G27" s="544"/>
      <c r="H27" s="545"/>
    </row>
    <row r="28" spans="1:8" ht="12.75">
      <c r="A28" s="543"/>
      <c r="B28" s="544"/>
      <c r="C28" s="544"/>
      <c r="D28" s="544"/>
      <c r="E28" s="544"/>
      <c r="F28" s="550" t="s">
        <v>710</v>
      </c>
      <c r="G28" s="551"/>
      <c r="H28" s="545"/>
    </row>
    <row r="29" spans="1:8" ht="12.75">
      <c r="A29" s="552"/>
      <c r="B29" s="553"/>
      <c r="C29" s="554" t="s">
        <v>406</v>
      </c>
      <c r="D29" s="554" t="s">
        <v>711</v>
      </c>
      <c r="E29" s="554" t="s">
        <v>712</v>
      </c>
      <c r="F29" s="555" t="s">
        <v>713</v>
      </c>
      <c r="G29" s="555" t="s">
        <v>714</v>
      </c>
      <c r="H29" s="556" t="s">
        <v>715</v>
      </c>
    </row>
    <row r="30" spans="1:8" ht="12.75">
      <c r="A30" s="557"/>
      <c r="B30" s="558"/>
      <c r="C30" s="559" t="s">
        <v>716</v>
      </c>
      <c r="D30" s="559" t="s">
        <v>717</v>
      </c>
      <c r="E30" s="559" t="s">
        <v>718</v>
      </c>
      <c r="F30" s="559" t="s">
        <v>719</v>
      </c>
      <c r="G30" s="559" t="s">
        <v>720</v>
      </c>
      <c r="H30" s="560" t="s">
        <v>721</v>
      </c>
    </row>
    <row r="31" spans="1:8" ht="12.75">
      <c r="A31" s="552" t="s">
        <v>722</v>
      </c>
      <c r="B31" s="561" t="s">
        <v>723</v>
      </c>
      <c r="C31" s="562">
        <v>87714</v>
      </c>
      <c r="D31" s="562"/>
      <c r="E31" s="562">
        <f>C31-D31</f>
        <v>87714</v>
      </c>
      <c r="F31" s="562">
        <v>365</v>
      </c>
      <c r="G31" s="562">
        <f>F31/365</f>
        <v>1</v>
      </c>
      <c r="H31" s="546">
        <f>E31*G31</f>
        <v>87714</v>
      </c>
    </row>
    <row r="32" spans="1:8" ht="12.75">
      <c r="A32" s="563" t="s">
        <v>724</v>
      </c>
      <c r="B32" s="561" t="s">
        <v>725</v>
      </c>
      <c r="C32" s="562">
        <v>87714</v>
      </c>
      <c r="D32" s="562"/>
      <c r="E32" s="559">
        <v>87714</v>
      </c>
      <c r="F32" s="562">
        <v>365</v>
      </c>
      <c r="G32" s="562">
        <f>F32/365</f>
        <v>1</v>
      </c>
      <c r="H32" s="546">
        <f>E32*G32</f>
        <v>87714</v>
      </c>
    </row>
    <row r="33" spans="1:8" ht="12.75">
      <c r="A33" s="543" t="s">
        <v>726</v>
      </c>
      <c r="B33" s="544"/>
      <c r="C33" s="544"/>
      <c r="D33" s="544"/>
      <c r="E33" s="544"/>
      <c r="F33" s="544"/>
      <c r="G33" s="544"/>
      <c r="H33" s="546">
        <v>87714</v>
      </c>
    </row>
    <row r="34" spans="1:8" ht="12.75">
      <c r="A34" s="543"/>
      <c r="B34" s="544"/>
      <c r="C34" s="544"/>
      <c r="D34" s="544"/>
      <c r="E34" s="544"/>
      <c r="F34" s="544"/>
      <c r="G34" s="544"/>
      <c r="H34" s="545"/>
    </row>
    <row r="35" spans="1:8" ht="23.25" customHeight="1">
      <c r="A35" s="740" t="s">
        <v>727</v>
      </c>
      <c r="B35" s="740"/>
      <c r="C35" s="740"/>
      <c r="D35" s="740"/>
      <c r="E35" s="740"/>
      <c r="F35" s="740"/>
      <c r="G35" s="740"/>
      <c r="H35" s="740"/>
    </row>
    <row r="36" spans="1:8" ht="12.75">
      <c r="A36" s="543"/>
      <c r="B36" s="544"/>
      <c r="C36" s="544"/>
      <c r="D36" s="544"/>
      <c r="E36" s="544"/>
      <c r="F36" s="544"/>
      <c r="G36" s="544"/>
      <c r="H36" s="545"/>
    </row>
    <row r="37" spans="1:8" ht="12.75">
      <c r="A37" s="543"/>
      <c r="B37" s="544"/>
      <c r="C37" s="544"/>
      <c r="D37" s="564"/>
      <c r="E37" s="544"/>
      <c r="F37" s="544"/>
      <c r="G37" s="544"/>
      <c r="H37" s="545"/>
    </row>
    <row r="38" spans="1:8" ht="12.75">
      <c r="A38" s="543" t="s">
        <v>728</v>
      </c>
      <c r="B38" s="544"/>
      <c r="C38" s="544"/>
      <c r="D38" s="544"/>
      <c r="E38" s="544"/>
      <c r="F38" s="544"/>
      <c r="G38" s="544"/>
      <c r="H38" s="545"/>
    </row>
    <row r="39" spans="1:8" ht="12.75">
      <c r="A39" s="543"/>
      <c r="B39" s="544"/>
      <c r="C39" s="544"/>
      <c r="D39" s="544"/>
      <c r="E39" s="544"/>
      <c r="F39" s="544"/>
      <c r="G39" s="544"/>
      <c r="H39" s="545"/>
    </row>
    <row r="40" spans="1:8" ht="12.75">
      <c r="A40" s="543" t="s">
        <v>729</v>
      </c>
      <c r="B40" s="544"/>
      <c r="C40" s="544"/>
      <c r="D40" s="562">
        <v>676281.6</v>
      </c>
      <c r="E40" s="544"/>
      <c r="F40" s="544"/>
      <c r="G40" s="544"/>
      <c r="H40" s="545"/>
    </row>
    <row r="41" spans="1:8" ht="12.75">
      <c r="A41" s="543"/>
      <c r="B41" s="544"/>
      <c r="C41" s="544"/>
      <c r="D41" s="544"/>
      <c r="E41" s="544"/>
      <c r="F41" s="544"/>
      <c r="G41" s="544"/>
      <c r="H41" s="545"/>
    </row>
    <row r="42" spans="1:8" ht="12.75">
      <c r="A42" s="547" t="s">
        <v>730</v>
      </c>
      <c r="B42" s="548"/>
      <c r="C42" s="548"/>
      <c r="D42" s="565">
        <f>H33</f>
        <v>87714</v>
      </c>
      <c r="E42" s="548"/>
      <c r="F42" s="548" t="s">
        <v>731</v>
      </c>
      <c r="G42" s="548"/>
      <c r="H42" s="566">
        <f>D40/D42</f>
        <v>7.710075928586086</v>
      </c>
    </row>
    <row r="43" spans="1:8" ht="12.75">
      <c r="A43" s="539"/>
      <c r="B43" s="539"/>
      <c r="C43" s="539"/>
      <c r="D43" s="539"/>
      <c r="E43" s="539"/>
      <c r="F43" s="539"/>
      <c r="G43" s="539"/>
      <c r="H43" s="539"/>
    </row>
    <row r="44" spans="1:8" ht="12.75">
      <c r="A44" s="539"/>
      <c r="B44" s="539"/>
      <c r="C44" s="539"/>
      <c r="D44" s="539"/>
      <c r="E44" s="539"/>
      <c r="F44" s="539"/>
      <c r="G44" s="539"/>
      <c r="H44" s="539"/>
    </row>
  </sheetData>
  <mergeCells count="1">
    <mergeCell ref="A35:H35"/>
  </mergeCells>
  <printOptions/>
  <pageMargins left="0.7597222222222223" right="0.7479166666666667" top="0.3597222222222222" bottom="0.4798611111111111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135"/>
  <sheetViews>
    <sheetView workbookViewId="0" topLeftCell="A79">
      <selection activeCell="A55" sqref="A55"/>
    </sheetView>
  </sheetViews>
  <sheetFormatPr defaultColWidth="9.140625" defaultRowHeight="12.75"/>
  <cols>
    <col min="1" max="1" width="54.8515625" style="43" customWidth="1"/>
    <col min="2" max="2" width="1.7109375" style="43" customWidth="1"/>
    <col min="3" max="3" width="10.28125" style="84" customWidth="1"/>
    <col min="4" max="4" width="1.7109375" style="85" customWidth="1"/>
    <col min="5" max="5" width="19.28125" style="43" customWidth="1"/>
    <col min="6" max="6" width="1.7109375" style="43" customWidth="1"/>
    <col min="7" max="7" width="22.28125" style="43" customWidth="1"/>
    <col min="8" max="8" width="3.00390625" style="43" customWidth="1"/>
    <col min="9" max="11" width="9.140625" style="43" customWidth="1"/>
    <col min="12" max="12" width="9.57421875" style="43" customWidth="1"/>
    <col min="13" max="16384" width="9.140625" style="43" customWidth="1"/>
  </cols>
  <sheetData>
    <row r="1" spans="1:8" ht="18.75">
      <c r="A1" s="606" t="str">
        <f>ОПР!A1:G1</f>
        <v>ТРАНССТРОЙ-БУРГАС АД</v>
      </c>
      <c r="B1" s="606"/>
      <c r="C1" s="606"/>
      <c r="D1" s="606"/>
      <c r="E1" s="606"/>
      <c r="F1" s="606"/>
      <c r="G1" s="606"/>
      <c r="H1" s="42"/>
    </row>
    <row r="2" spans="1:8" s="87" customFormat="1" ht="18.75">
      <c r="A2" s="627" t="str">
        <f>CONCATENATE("КОНСОЛИДИРАН СЧЕТОВОДЕН БАЛАНС ","към ",DAY(НАЧАЛО!AA$2),".",MONTH(НАЧАЛО!AA$2),".",YEAR(НАЧАЛО!AA$2)," г.")</f>
        <v>КОНСОЛИДИРАН СЧЕТОВОДЕН БАЛАНС към 30.9.2010 г.</v>
      </c>
      <c r="B2" s="627"/>
      <c r="C2" s="627"/>
      <c r="D2" s="627"/>
      <c r="E2" s="627"/>
      <c r="F2" s="627"/>
      <c r="G2" s="627"/>
      <c r="H2" s="86"/>
    </row>
    <row r="3" spans="1:8" ht="15" customHeight="1">
      <c r="A3" s="88"/>
      <c r="B3" s="88"/>
      <c r="C3" s="89"/>
      <c r="D3" s="88"/>
      <c r="E3" s="90"/>
      <c r="F3" s="88"/>
      <c r="G3" s="90"/>
      <c r="H3" s="42"/>
    </row>
    <row r="4" spans="1:8" s="97" customFormat="1" ht="21">
      <c r="A4" s="91"/>
      <c r="B4" s="91"/>
      <c r="C4" s="92" t="s">
        <v>54</v>
      </c>
      <c r="D4" s="93"/>
      <c r="E4" s="94">
        <f>НАЧАЛО!AA2</f>
        <v>40451</v>
      </c>
      <c r="F4" s="95"/>
      <c r="G4" s="29" t="str">
        <f>НАЧАЛО!AF1&amp;" г."</f>
        <v>30.9.2009 г.</v>
      </c>
      <c r="H4" s="96"/>
    </row>
    <row r="5" spans="1:8" ht="18" customHeight="1">
      <c r="A5" s="31" t="s">
        <v>99</v>
      </c>
      <c r="B5" s="31"/>
      <c r="C5" s="89"/>
      <c r="D5" s="88"/>
      <c r="E5" s="98" t="s">
        <v>55</v>
      </c>
      <c r="F5" s="99"/>
      <c r="G5" s="98" t="s">
        <v>55</v>
      </c>
      <c r="H5" s="42"/>
    </row>
    <row r="6" spans="1:8" ht="9" customHeight="1">
      <c r="A6" s="100"/>
      <c r="B6" s="100"/>
      <c r="C6" s="89"/>
      <c r="D6" s="88"/>
      <c r="E6" s="98"/>
      <c r="F6" s="99"/>
      <c r="G6" s="98"/>
      <c r="H6" s="42"/>
    </row>
    <row r="7" spans="1:8" ht="16.5" customHeight="1">
      <c r="A7" s="101" t="s">
        <v>100</v>
      </c>
      <c r="B7" s="100"/>
      <c r="C7" s="89"/>
      <c r="D7" s="88"/>
      <c r="E7" s="98"/>
      <c r="F7" s="99"/>
      <c r="G7" s="98"/>
      <c r="H7" s="42"/>
    </row>
    <row r="8" spans="1:8" ht="9" customHeight="1">
      <c r="A8" s="31"/>
      <c r="B8" s="31"/>
      <c r="C8" s="102"/>
      <c r="D8" s="39"/>
      <c r="E8" s="42"/>
      <c r="F8" s="55"/>
      <c r="G8" s="42"/>
      <c r="H8" s="42"/>
    </row>
    <row r="9" spans="1:8" ht="15.75" customHeight="1">
      <c r="A9" s="103" t="s">
        <v>101</v>
      </c>
      <c r="B9" s="104"/>
      <c r="C9" s="105" t="s">
        <v>102</v>
      </c>
      <c r="D9" s="45"/>
      <c r="E9" s="106">
        <v>6742</v>
      </c>
      <c r="F9" s="107"/>
      <c r="G9" s="106">
        <v>6374</v>
      </c>
      <c r="H9" s="42"/>
    </row>
    <row r="10" spans="1:8" ht="9" customHeight="1">
      <c r="A10" s="44"/>
      <c r="B10" s="44"/>
      <c r="C10" s="62"/>
      <c r="D10" s="45"/>
      <c r="E10" s="108"/>
      <c r="F10" s="109"/>
      <c r="G10" s="108"/>
      <c r="H10" s="42"/>
    </row>
    <row r="11" spans="1:8" ht="15.75" customHeight="1">
      <c r="A11" s="103" t="s">
        <v>103</v>
      </c>
      <c r="B11" s="104"/>
      <c r="C11" s="105" t="s">
        <v>104</v>
      </c>
      <c r="D11" s="45"/>
      <c r="E11" s="106">
        <v>0</v>
      </c>
      <c r="F11" s="107"/>
      <c r="G11" s="106">
        <v>0</v>
      </c>
      <c r="H11" s="42"/>
    </row>
    <row r="12" spans="1:8" ht="9" customHeight="1">
      <c r="A12" s="44"/>
      <c r="B12" s="44"/>
      <c r="C12" s="62"/>
      <c r="D12" s="45"/>
      <c r="E12" s="108"/>
      <c r="F12" s="109"/>
      <c r="G12" s="108"/>
      <c r="H12" s="42"/>
    </row>
    <row r="13" spans="1:8" ht="15">
      <c r="A13" s="103" t="s">
        <v>105</v>
      </c>
      <c r="B13" s="104"/>
      <c r="C13" s="105" t="s">
        <v>106</v>
      </c>
      <c r="D13" s="45"/>
      <c r="E13" s="106">
        <v>10</v>
      </c>
      <c r="F13" s="107"/>
      <c r="G13" s="106">
        <v>9</v>
      </c>
      <c r="H13" s="42"/>
    </row>
    <row r="14" spans="1:8" ht="9" customHeight="1">
      <c r="A14" s="44"/>
      <c r="B14" s="44"/>
      <c r="C14" s="62"/>
      <c r="D14" s="45"/>
      <c r="E14" s="108"/>
      <c r="F14" s="109"/>
      <c r="G14" s="108"/>
      <c r="H14" s="42"/>
    </row>
    <row r="15" spans="1:8" ht="15">
      <c r="A15" s="103" t="s">
        <v>107</v>
      </c>
      <c r="B15" s="104"/>
      <c r="C15" s="110" t="s">
        <v>108</v>
      </c>
      <c r="D15" s="45"/>
      <c r="E15" s="106">
        <v>833</v>
      </c>
      <c r="F15" s="107"/>
      <c r="G15" s="106">
        <v>3109</v>
      </c>
      <c r="H15" s="42"/>
    </row>
    <row r="16" spans="1:8" ht="9" customHeight="1">
      <c r="A16" s="44"/>
      <c r="B16" s="44"/>
      <c r="C16" s="62"/>
      <c r="D16" s="45"/>
      <c r="E16" s="62"/>
      <c r="F16" s="62"/>
      <c r="G16" s="62"/>
      <c r="H16" s="42"/>
    </row>
    <row r="17" spans="1:8" ht="15">
      <c r="A17" s="103" t="s">
        <v>109</v>
      </c>
      <c r="B17" s="104"/>
      <c r="C17" s="105" t="s">
        <v>110</v>
      </c>
      <c r="D17" s="45"/>
      <c r="E17" s="106">
        <v>532</v>
      </c>
      <c r="F17" s="107"/>
      <c r="G17" s="106"/>
      <c r="H17" s="42"/>
    </row>
    <row r="18" spans="1:8" ht="9" customHeight="1">
      <c r="A18" s="44"/>
      <c r="B18" s="44"/>
      <c r="C18" s="62"/>
      <c r="D18" s="45"/>
      <c r="E18" s="108"/>
      <c r="F18" s="109"/>
      <c r="G18" s="108"/>
      <c r="H18" s="42"/>
    </row>
    <row r="19" spans="1:8" ht="15">
      <c r="A19" s="103" t="s">
        <v>111</v>
      </c>
      <c r="B19" s="104"/>
      <c r="C19" s="105" t="s">
        <v>112</v>
      </c>
      <c r="D19" s="45"/>
      <c r="E19" s="106">
        <v>51</v>
      </c>
      <c r="F19" s="107"/>
      <c r="G19" s="106">
        <v>51</v>
      </c>
      <c r="H19" s="42"/>
    </row>
    <row r="20" spans="1:8" ht="8.25" customHeight="1">
      <c r="A20" s="44"/>
      <c r="B20" s="44"/>
      <c r="C20" s="62"/>
      <c r="D20" s="45"/>
      <c r="E20" s="111"/>
      <c r="F20" s="107"/>
      <c r="G20" s="111"/>
      <c r="H20" s="42"/>
    </row>
    <row r="21" spans="1:8" ht="15" customHeight="1">
      <c r="A21" s="103" t="s">
        <v>113</v>
      </c>
      <c r="B21" s="44"/>
      <c r="C21" s="105" t="s">
        <v>98</v>
      </c>
      <c r="D21" s="45"/>
      <c r="E21" s="106"/>
      <c r="F21" s="107"/>
      <c r="G21" s="106"/>
      <c r="H21" s="42"/>
    </row>
    <row r="22" spans="1:8" ht="8.25" customHeight="1">
      <c r="A22" s="31"/>
      <c r="B22" s="31"/>
      <c r="C22" s="62"/>
      <c r="D22" s="45"/>
      <c r="E22" s="112"/>
      <c r="F22" s="107"/>
      <c r="G22" s="111"/>
      <c r="H22" s="42"/>
    </row>
    <row r="23" spans="1:8" ht="15.75">
      <c r="A23" s="113" t="s">
        <v>114</v>
      </c>
      <c r="B23" s="32"/>
      <c r="C23" s="114"/>
      <c r="D23" s="39"/>
      <c r="E23" s="115">
        <f>E9+E11+E13+E15+E17+E19+E21</f>
        <v>8168</v>
      </c>
      <c r="F23" s="55"/>
      <c r="G23" s="115">
        <f>G9+G11+G13+G15+G17+G19+G21</f>
        <v>9543</v>
      </c>
      <c r="H23" s="42"/>
    </row>
    <row r="24" spans="1:8" ht="9" customHeight="1">
      <c r="A24" s="31"/>
      <c r="B24" s="31"/>
      <c r="C24" s="102"/>
      <c r="D24" s="39"/>
      <c r="E24" s="116"/>
      <c r="F24" s="116"/>
      <c r="G24" s="116"/>
      <c r="H24" s="42"/>
    </row>
    <row r="25" spans="1:8" ht="16.5" customHeight="1">
      <c r="A25" s="31" t="s">
        <v>115</v>
      </c>
      <c r="B25" s="31"/>
      <c r="C25" s="102"/>
      <c r="D25" s="39"/>
      <c r="E25" s="116"/>
      <c r="F25" s="116"/>
      <c r="G25" s="116"/>
      <c r="H25" s="42"/>
    </row>
    <row r="26" spans="1:8" ht="9" customHeight="1">
      <c r="A26" s="31"/>
      <c r="B26" s="31"/>
      <c r="C26" s="102"/>
      <c r="D26" s="39"/>
      <c r="E26" s="116"/>
      <c r="F26" s="116"/>
      <c r="G26" s="116"/>
      <c r="H26" s="42"/>
    </row>
    <row r="27" spans="1:8" ht="15" customHeight="1">
      <c r="A27" s="103" t="s">
        <v>116</v>
      </c>
      <c r="B27" s="104"/>
      <c r="C27" s="105" t="s">
        <v>117</v>
      </c>
      <c r="D27" s="45"/>
      <c r="E27" s="106"/>
      <c r="F27" s="107"/>
      <c r="G27" s="106"/>
      <c r="H27" s="42"/>
    </row>
    <row r="28" spans="1:8" ht="9" customHeight="1">
      <c r="A28" s="44"/>
      <c r="B28" s="44"/>
      <c r="C28" s="62"/>
      <c r="D28" s="45"/>
      <c r="E28" s="117"/>
      <c r="F28" s="117"/>
      <c r="G28" s="117"/>
      <c r="H28" s="42"/>
    </row>
    <row r="29" spans="1:8" ht="15">
      <c r="A29" s="103" t="s">
        <v>118</v>
      </c>
      <c r="B29" s="104"/>
      <c r="C29" s="105" t="s">
        <v>119</v>
      </c>
      <c r="D29" s="45"/>
      <c r="E29" s="106">
        <v>7572</v>
      </c>
      <c r="F29" s="107"/>
      <c r="G29" s="106">
        <v>6626</v>
      </c>
      <c r="H29" s="42"/>
    </row>
    <row r="30" spans="1:8" ht="9" customHeight="1">
      <c r="A30" s="44"/>
      <c r="B30" s="104"/>
      <c r="C30" s="62"/>
      <c r="D30" s="45"/>
      <c r="E30" s="111"/>
      <c r="F30" s="107"/>
      <c r="G30" s="111"/>
      <c r="H30" s="42"/>
    </row>
    <row r="31" spans="1:8" ht="15">
      <c r="A31" s="103" t="s">
        <v>120</v>
      </c>
      <c r="B31" s="104"/>
      <c r="C31" s="105" t="s">
        <v>121</v>
      </c>
      <c r="D31" s="45"/>
      <c r="E31" s="604">
        <f>11402+46</f>
        <v>11448</v>
      </c>
      <c r="F31" s="107"/>
      <c r="G31" s="106">
        <v>9879</v>
      </c>
      <c r="H31" s="42"/>
    </row>
    <row r="32" spans="1:8" ht="15">
      <c r="A32" s="44" t="s">
        <v>122</v>
      </c>
      <c r="B32" s="104"/>
      <c r="C32" s="62"/>
      <c r="D32" s="45"/>
      <c r="E32" s="111">
        <v>0</v>
      </c>
      <c r="F32" s="107"/>
      <c r="G32" s="111">
        <v>0</v>
      </c>
      <c r="H32" s="42"/>
    </row>
    <row r="33" spans="1:8" ht="8.25" customHeight="1">
      <c r="A33" s="44"/>
      <c r="B33" s="104"/>
      <c r="C33" s="62"/>
      <c r="D33" s="45"/>
      <c r="E33" s="111"/>
      <c r="F33" s="107"/>
      <c r="G33" s="111"/>
      <c r="H33" s="42"/>
    </row>
    <row r="34" spans="1:8" ht="15">
      <c r="A34" s="103" t="s">
        <v>123</v>
      </c>
      <c r="B34" s="104"/>
      <c r="C34" s="105" t="s">
        <v>98</v>
      </c>
      <c r="D34" s="45"/>
      <c r="E34" s="106">
        <v>1</v>
      </c>
      <c r="F34" s="107"/>
      <c r="G34" s="106">
        <v>0</v>
      </c>
      <c r="H34" s="42"/>
    </row>
    <row r="35" spans="1:8" ht="6.75" customHeight="1">
      <c r="A35" s="44"/>
      <c r="B35" s="44"/>
      <c r="C35" s="62"/>
      <c r="D35" s="45"/>
      <c r="E35" s="111"/>
      <c r="F35" s="107"/>
      <c r="G35" s="111"/>
      <c r="H35" s="42"/>
    </row>
    <row r="36" spans="1:8" ht="15.75" customHeight="1">
      <c r="A36" s="103" t="s">
        <v>124</v>
      </c>
      <c r="B36" s="104"/>
      <c r="C36" s="105" t="s">
        <v>125</v>
      </c>
      <c r="D36" s="45"/>
      <c r="E36" s="106"/>
      <c r="F36" s="107"/>
      <c r="G36" s="106"/>
      <c r="H36" s="42"/>
    </row>
    <row r="37" spans="1:8" ht="9" customHeight="1">
      <c r="A37" s="44"/>
      <c r="B37" s="44"/>
      <c r="C37" s="62" t="s">
        <v>98</v>
      </c>
      <c r="D37" s="45"/>
      <c r="E37" s="111"/>
      <c r="F37" s="107"/>
      <c r="G37" s="111"/>
      <c r="H37" s="42"/>
    </row>
    <row r="38" spans="1:8" ht="15">
      <c r="A38" s="103" t="s">
        <v>126</v>
      </c>
      <c r="B38" s="104"/>
      <c r="C38" s="105" t="s">
        <v>127</v>
      </c>
      <c r="D38" s="45"/>
      <c r="E38" s="106">
        <v>985</v>
      </c>
      <c r="F38" s="107"/>
      <c r="G38" s="106">
        <v>1647</v>
      </c>
      <c r="H38" s="42"/>
    </row>
    <row r="39" spans="1:8" ht="8.25" customHeight="1">
      <c r="A39" s="37"/>
      <c r="B39" s="118"/>
      <c r="C39" s="62"/>
      <c r="D39" s="119"/>
      <c r="E39" s="112"/>
      <c r="F39" s="120"/>
      <c r="G39" s="112"/>
      <c r="H39" s="42"/>
    </row>
    <row r="40" spans="1:8" ht="16.5" customHeight="1">
      <c r="A40" s="113" t="s">
        <v>128</v>
      </c>
      <c r="B40" s="121"/>
      <c r="C40" s="114"/>
      <c r="D40" s="122"/>
      <c r="E40" s="115">
        <f>E27+E29+E31+E34+E36+E38</f>
        <v>20006</v>
      </c>
      <c r="F40" s="42"/>
      <c r="G40" s="115">
        <f>G27+G29+G31+G34+G36+G38</f>
        <v>18152</v>
      </c>
      <c r="H40" s="42"/>
    </row>
    <row r="41" spans="1:8" ht="8.25" customHeight="1">
      <c r="A41" s="86"/>
      <c r="B41" s="86"/>
      <c r="C41" s="123"/>
      <c r="D41" s="119"/>
      <c r="E41" s="111"/>
      <c r="F41" s="111"/>
      <c r="G41" s="111"/>
      <c r="H41" s="42"/>
    </row>
    <row r="42" spans="1:8" ht="16.5" customHeight="1">
      <c r="A42" s="124" t="s">
        <v>129</v>
      </c>
      <c r="B42" s="125"/>
      <c r="C42" s="126"/>
      <c r="D42" s="122"/>
      <c r="E42" s="126">
        <f>E23+E40</f>
        <v>28174</v>
      </c>
      <c r="F42" s="116"/>
      <c r="G42" s="126">
        <f>G23+G40</f>
        <v>27695</v>
      </c>
      <c r="H42" s="42"/>
    </row>
    <row r="43" spans="1:8" ht="15">
      <c r="A43" s="44"/>
      <c r="B43" s="44"/>
      <c r="C43" s="62"/>
      <c r="D43" s="45"/>
      <c r="E43" s="108"/>
      <c r="F43" s="108"/>
      <c r="G43" s="108"/>
      <c r="H43" s="42"/>
    </row>
    <row r="44" spans="1:8" ht="15">
      <c r="A44" s="55"/>
      <c r="B44" s="55"/>
      <c r="C44" s="62"/>
      <c r="D44" s="45"/>
      <c r="E44" s="42"/>
      <c r="F44" s="55"/>
      <c r="G44" s="42"/>
      <c r="H44" s="42"/>
    </row>
    <row r="45" spans="1:8" ht="15">
      <c r="A45" s="55"/>
      <c r="B45" s="55"/>
      <c r="C45" s="62"/>
      <c r="D45" s="45"/>
      <c r="E45" s="42"/>
      <c r="F45" s="55"/>
      <c r="G45" s="42"/>
      <c r="H45" s="42"/>
    </row>
    <row r="46" spans="1:8" ht="15">
      <c r="A46" s="610" t="str">
        <f>A1</f>
        <v>ТРАНССТРОЙ-БУРГАС АД</v>
      </c>
      <c r="B46" s="610"/>
      <c r="C46" s="610"/>
      <c r="D46" s="610"/>
      <c r="E46" s="610"/>
      <c r="F46" s="610"/>
      <c r="G46" s="610"/>
      <c r="H46" s="42"/>
    </row>
    <row r="47" spans="1:8" ht="15">
      <c r="A47" s="611" t="str">
        <f>CONCATENATE("КОНСОЛИДИРАН  СЧЕТОВОДЕН БАЛАНС ","към ",DAY(НАЧАЛО!AA$2),".",MONTH(НАЧАЛО!AA$2),".",YEAR(НАЧАЛО!AA$2)," г."," - продължение")</f>
        <v>КОНСОЛИДИРАН  СЧЕТОВОДЕН БАЛАНС към 30.9.2010 г. - продължение</v>
      </c>
      <c r="B47" s="611"/>
      <c r="C47" s="611"/>
      <c r="D47" s="611"/>
      <c r="E47" s="611"/>
      <c r="F47" s="611"/>
      <c r="G47" s="611"/>
      <c r="H47" s="42"/>
    </row>
    <row r="48" spans="1:8" ht="15">
      <c r="A48" s="44"/>
      <c r="B48" s="44"/>
      <c r="C48" s="62"/>
      <c r="D48" s="45"/>
      <c r="E48" s="42"/>
      <c r="F48" s="55"/>
      <c r="G48" s="42"/>
      <c r="H48" s="42"/>
    </row>
    <row r="49" spans="1:8" ht="21">
      <c r="A49" s="91"/>
      <c r="B49" s="91"/>
      <c r="C49" s="92" t="s">
        <v>54</v>
      </c>
      <c r="D49" s="93"/>
      <c r="E49" s="94">
        <f>E4</f>
        <v>40451</v>
      </c>
      <c r="F49" s="95"/>
      <c r="G49" s="94" t="str">
        <f>G4</f>
        <v>30.9.2009 г.</v>
      </c>
      <c r="H49" s="42"/>
    </row>
    <row r="50" spans="1:8" ht="15">
      <c r="A50" s="31" t="s">
        <v>130</v>
      </c>
      <c r="B50" s="31"/>
      <c r="C50" s="89"/>
      <c r="D50" s="88"/>
      <c r="E50" s="602"/>
      <c r="F50" s="99"/>
      <c r="G50" s="98"/>
      <c r="H50" s="127"/>
    </row>
    <row r="51" spans="1:8" ht="9" customHeight="1">
      <c r="A51" s="100"/>
      <c r="B51" s="100"/>
      <c r="C51" s="89"/>
      <c r="D51" s="88"/>
      <c r="E51" s="98"/>
      <c r="F51" s="99"/>
      <c r="G51" s="98"/>
      <c r="H51" s="127"/>
    </row>
    <row r="52" spans="1:8" ht="15" customHeight="1">
      <c r="A52" s="128" t="s">
        <v>131</v>
      </c>
      <c r="B52" s="125"/>
      <c r="C52" s="129" t="s">
        <v>132</v>
      </c>
      <c r="D52" s="122"/>
      <c r="E52" s="116">
        <v>88</v>
      </c>
      <c r="F52" s="130"/>
      <c r="G52" s="116">
        <v>283</v>
      </c>
      <c r="H52" s="42"/>
    </row>
    <row r="53" spans="1:8" ht="6" customHeight="1">
      <c r="A53" s="31"/>
      <c r="B53" s="31"/>
      <c r="C53" s="102"/>
      <c r="D53" s="39"/>
      <c r="E53" s="130"/>
      <c r="F53" s="130"/>
      <c r="G53" s="130"/>
      <c r="H53" s="42"/>
    </row>
    <row r="54" spans="1:8" ht="15">
      <c r="A54" s="131" t="s">
        <v>133</v>
      </c>
      <c r="B54" s="31"/>
      <c r="C54" s="132" t="s">
        <v>134</v>
      </c>
      <c r="D54" s="45"/>
      <c r="E54" s="133">
        <v>88</v>
      </c>
      <c r="F54" s="130"/>
      <c r="G54" s="133">
        <v>283</v>
      </c>
      <c r="H54" s="42"/>
    </row>
    <row r="55" spans="1:8" ht="15">
      <c r="A55" s="61" t="s">
        <v>135</v>
      </c>
      <c r="B55" s="31"/>
      <c r="C55" s="134"/>
      <c r="D55" s="39"/>
      <c r="E55" s="135">
        <v>88</v>
      </c>
      <c r="F55" s="130"/>
      <c r="G55" s="135">
        <v>283</v>
      </c>
      <c r="H55" s="42"/>
    </row>
    <row r="56" spans="1:8" ht="15">
      <c r="A56" s="44" t="s">
        <v>136</v>
      </c>
      <c r="B56" s="31"/>
      <c r="C56" s="134"/>
      <c r="D56" s="39"/>
      <c r="E56" s="135"/>
      <c r="F56" s="130"/>
      <c r="G56" s="135"/>
      <c r="H56" s="42"/>
    </row>
    <row r="57" spans="1:8" ht="15">
      <c r="A57" s="44" t="s">
        <v>137</v>
      </c>
      <c r="B57" s="31"/>
      <c r="C57" s="134"/>
      <c r="D57" s="39"/>
      <c r="E57" s="135"/>
      <c r="F57" s="130"/>
      <c r="G57" s="135"/>
      <c r="H57" s="42"/>
    </row>
    <row r="58" spans="1:8" ht="8.25" customHeight="1">
      <c r="A58" s="31"/>
      <c r="B58" s="31"/>
      <c r="C58" s="62"/>
      <c r="D58" s="45"/>
      <c r="E58" s="136"/>
      <c r="F58" s="137"/>
      <c r="G58" s="136"/>
      <c r="H58" s="42"/>
    </row>
    <row r="59" spans="1:8" ht="15" customHeight="1">
      <c r="A59" s="131" t="s">
        <v>138</v>
      </c>
      <c r="B59" s="31"/>
      <c r="C59" s="105" t="s">
        <v>98</v>
      </c>
      <c r="D59" s="45"/>
      <c r="E59" s="138"/>
      <c r="F59" s="137"/>
      <c r="G59" s="138"/>
      <c r="H59" s="42"/>
    </row>
    <row r="60" spans="1:8" ht="9" customHeight="1">
      <c r="A60" s="31"/>
      <c r="B60" s="31"/>
      <c r="C60" s="62"/>
      <c r="D60" s="45"/>
      <c r="E60" s="136"/>
      <c r="F60" s="137"/>
      <c r="G60" s="136"/>
      <c r="H60" s="42"/>
    </row>
    <row r="61" spans="1:8" ht="15">
      <c r="A61" s="131" t="s">
        <v>139</v>
      </c>
      <c r="B61" s="31"/>
      <c r="C61" s="139" t="s">
        <v>140</v>
      </c>
      <c r="D61" s="45"/>
      <c r="E61" s="133">
        <v>4514</v>
      </c>
      <c r="F61" s="130"/>
      <c r="G61" s="133">
        <v>5152</v>
      </c>
      <c r="H61" s="42"/>
    </row>
    <row r="62" spans="1:8" ht="8.25" customHeight="1">
      <c r="A62" s="44"/>
      <c r="B62" s="44"/>
      <c r="C62" s="62"/>
      <c r="D62" s="45"/>
      <c r="E62" s="136"/>
      <c r="F62" s="137"/>
      <c r="G62" s="136"/>
      <c r="H62" s="42"/>
    </row>
    <row r="63" spans="1:8" ht="15">
      <c r="A63" s="131" t="s">
        <v>141</v>
      </c>
      <c r="B63" s="31"/>
      <c r="C63" s="132" t="s">
        <v>142</v>
      </c>
      <c r="D63" s="45"/>
      <c r="E63" s="133">
        <f>SUM(E64:E65)</f>
        <v>733</v>
      </c>
      <c r="F63" s="130"/>
      <c r="G63" s="133">
        <f>SUM(G64:G65)</f>
        <v>1563</v>
      </c>
      <c r="H63" s="42"/>
    </row>
    <row r="64" spans="1:9" ht="15">
      <c r="A64" s="44" t="s">
        <v>143</v>
      </c>
      <c r="B64" s="44"/>
      <c r="C64" s="62"/>
      <c r="D64" s="45"/>
      <c r="E64" s="136">
        <v>845</v>
      </c>
      <c r="F64" s="137"/>
      <c r="G64" s="136">
        <v>1451</v>
      </c>
      <c r="H64" s="42" t="s">
        <v>98</v>
      </c>
      <c r="I64" s="140"/>
    </row>
    <row r="65" spans="1:10" ht="15">
      <c r="A65" s="44" t="s">
        <v>144</v>
      </c>
      <c r="B65" s="44"/>
      <c r="C65" s="62"/>
      <c r="D65" s="45"/>
      <c r="E65" s="135">
        <v>-112</v>
      </c>
      <c r="F65" s="135"/>
      <c r="G65" s="135">
        <v>112</v>
      </c>
      <c r="H65" s="42"/>
      <c r="J65" s="140"/>
    </row>
    <row r="66" spans="1:8" ht="8.25" customHeight="1">
      <c r="A66" s="44"/>
      <c r="B66" s="44"/>
      <c r="C66" s="62"/>
      <c r="D66" s="45"/>
      <c r="E66" s="130">
        <v>0</v>
      </c>
      <c r="F66" s="130"/>
      <c r="G66" s="130"/>
      <c r="H66" s="42"/>
    </row>
    <row r="67" spans="1:9" ht="16.5" customHeight="1">
      <c r="A67" s="141" t="s">
        <v>131</v>
      </c>
      <c r="B67" s="31"/>
      <c r="C67" s="142" t="s">
        <v>98</v>
      </c>
      <c r="D67" s="39"/>
      <c r="E67" s="142">
        <f>E54+E59+E61+E63</f>
        <v>5335</v>
      </c>
      <c r="F67" s="130"/>
      <c r="G67" s="142">
        <f>G54+G61+G63</f>
        <v>6998</v>
      </c>
      <c r="H67" s="42"/>
      <c r="I67" s="140"/>
    </row>
    <row r="68" spans="1:8" ht="17.25" customHeight="1">
      <c r="A68" s="31" t="s">
        <v>145</v>
      </c>
      <c r="B68" s="44"/>
      <c r="C68" s="62"/>
      <c r="D68" s="45"/>
      <c r="E68" s="603">
        <v>38</v>
      </c>
      <c r="F68" s="130"/>
      <c r="G68" s="130">
        <v>195</v>
      </c>
      <c r="H68" s="42"/>
    </row>
    <row r="69" spans="1:8" ht="15" customHeight="1">
      <c r="A69" s="116" t="s">
        <v>146</v>
      </c>
      <c r="B69" s="31"/>
      <c r="C69" s="116"/>
      <c r="D69" s="39"/>
      <c r="E69" s="116"/>
      <c r="F69" s="130"/>
      <c r="G69" s="116"/>
      <c r="H69" s="42"/>
    </row>
    <row r="70" spans="1:8" ht="9" customHeight="1">
      <c r="A70" s="31"/>
      <c r="B70" s="31"/>
      <c r="C70" s="102"/>
      <c r="D70" s="39"/>
      <c r="E70" s="116"/>
      <c r="F70" s="116"/>
      <c r="G70" s="116"/>
      <c r="H70" s="42"/>
    </row>
    <row r="71" spans="1:8" ht="15">
      <c r="A71" s="103" t="s">
        <v>147</v>
      </c>
      <c r="B71" s="44"/>
      <c r="C71" s="132" t="s">
        <v>148</v>
      </c>
      <c r="D71" s="45"/>
      <c r="E71" s="143"/>
      <c r="F71" s="135"/>
      <c r="G71" s="143"/>
      <c r="H71" s="42"/>
    </row>
    <row r="72" spans="1:8" ht="9" customHeight="1">
      <c r="A72" s="44"/>
      <c r="B72" s="44"/>
      <c r="C72" s="129"/>
      <c r="D72" s="45"/>
      <c r="E72" s="135"/>
      <c r="F72" s="135"/>
      <c r="G72" s="135"/>
      <c r="H72" s="42"/>
    </row>
    <row r="73" spans="1:8" ht="15">
      <c r="A73" s="103" t="s">
        <v>149</v>
      </c>
      <c r="B73" s="44"/>
      <c r="C73" s="132" t="s">
        <v>150</v>
      </c>
      <c r="D73" s="45"/>
      <c r="E73" s="143">
        <v>8569</v>
      </c>
      <c r="F73" s="135"/>
      <c r="G73" s="143">
        <v>3868</v>
      </c>
      <c r="H73" s="42"/>
    </row>
    <row r="74" spans="1:8" ht="8.25" customHeight="1">
      <c r="A74" s="44"/>
      <c r="B74" s="44"/>
      <c r="C74" s="129"/>
      <c r="D74" s="45"/>
      <c r="E74" s="135"/>
      <c r="F74" s="135"/>
      <c r="G74" s="135"/>
      <c r="H74" s="42"/>
    </row>
    <row r="75" spans="1:8" ht="15">
      <c r="A75" s="103" t="s">
        <v>151</v>
      </c>
      <c r="B75" s="44"/>
      <c r="C75" s="132" t="s">
        <v>152</v>
      </c>
      <c r="D75" s="45"/>
      <c r="E75" s="143">
        <v>402</v>
      </c>
      <c r="F75" s="135"/>
      <c r="G75" s="143">
        <v>402</v>
      </c>
      <c r="H75" s="42"/>
    </row>
    <row r="76" spans="1:8" ht="0.75" customHeight="1">
      <c r="A76" s="44" t="s">
        <v>153</v>
      </c>
      <c r="B76" s="44"/>
      <c r="C76" s="62" t="s">
        <v>98</v>
      </c>
      <c r="D76" s="45"/>
      <c r="E76" s="144"/>
      <c r="F76" s="137"/>
      <c r="G76" s="144"/>
      <c r="H76" s="42"/>
    </row>
    <row r="77" spans="1:8" ht="7.5" customHeight="1">
      <c r="A77" s="44"/>
      <c r="B77" s="44"/>
      <c r="C77" s="62"/>
      <c r="D77" s="45"/>
      <c r="E77" s="136"/>
      <c r="F77" s="137"/>
      <c r="G77" s="136"/>
      <c r="H77" s="42"/>
    </row>
    <row r="78" spans="1:8" ht="15" customHeight="1">
      <c r="A78" s="103" t="s">
        <v>154</v>
      </c>
      <c r="B78" s="44"/>
      <c r="C78" s="132" t="s">
        <v>155</v>
      </c>
      <c r="D78" s="45"/>
      <c r="E78" s="143">
        <v>0</v>
      </c>
      <c r="F78" s="135"/>
      <c r="G78" s="143">
        <v>0</v>
      </c>
      <c r="H78" s="42"/>
    </row>
    <row r="79" spans="1:8" ht="8.25" customHeight="1">
      <c r="A79" s="31"/>
      <c r="B79" s="31"/>
      <c r="C79" s="129"/>
      <c r="D79" s="45"/>
      <c r="E79" s="130"/>
      <c r="F79" s="130"/>
      <c r="G79" s="130"/>
      <c r="H79" s="42"/>
    </row>
    <row r="80" spans="1:8" ht="16.5" customHeight="1">
      <c r="A80" s="142" t="s">
        <v>146</v>
      </c>
      <c r="B80" s="31"/>
      <c r="C80" s="142"/>
      <c r="D80" s="39"/>
      <c r="E80" s="142">
        <f>E71+E73+E75+E78</f>
        <v>8971</v>
      </c>
      <c r="F80" s="130"/>
      <c r="G80" s="142">
        <f>G71+G73+G75+G78</f>
        <v>4270</v>
      </c>
      <c r="H80" s="42"/>
    </row>
    <row r="81" spans="1:8" ht="7.5" customHeight="1">
      <c r="A81" s="31"/>
      <c r="B81" s="31"/>
      <c r="C81" s="62"/>
      <c r="D81" s="45"/>
      <c r="E81" s="145"/>
      <c r="F81" s="146"/>
      <c r="G81" s="145"/>
      <c r="H81" s="42"/>
    </row>
    <row r="82" spans="1:8" ht="16.5" customHeight="1">
      <c r="A82" s="116" t="s">
        <v>156</v>
      </c>
      <c r="B82" s="31"/>
      <c r="C82" s="116"/>
      <c r="D82" s="39"/>
      <c r="E82" s="116"/>
      <c r="F82" s="130"/>
      <c r="G82" s="116"/>
      <c r="H82" s="42"/>
    </row>
    <row r="83" spans="1:8" ht="9" customHeight="1">
      <c r="A83" s="31"/>
      <c r="B83" s="31"/>
      <c r="C83" s="102"/>
      <c r="D83" s="39"/>
      <c r="E83" s="136"/>
      <c r="F83" s="137"/>
      <c r="G83" s="136"/>
      <c r="H83" s="42"/>
    </row>
    <row r="84" spans="1:8" ht="15">
      <c r="A84" s="103" t="s">
        <v>157</v>
      </c>
      <c r="B84" s="44"/>
      <c r="C84" s="132" t="s">
        <v>158</v>
      </c>
      <c r="D84" s="45"/>
      <c r="E84" s="143"/>
      <c r="F84" s="135"/>
      <c r="G84" s="143">
        <v>3058</v>
      </c>
      <c r="H84" s="42"/>
    </row>
    <row r="85" spans="1:8" ht="9" customHeight="1">
      <c r="A85" s="44"/>
      <c r="B85" s="44"/>
      <c r="C85" s="62"/>
      <c r="D85" s="45"/>
      <c r="E85" s="136"/>
      <c r="F85" s="137"/>
      <c r="G85" s="136"/>
      <c r="H85" s="42"/>
    </row>
    <row r="86" spans="1:8" ht="15" customHeight="1">
      <c r="A86" s="103" t="s">
        <v>159</v>
      </c>
      <c r="B86" s="44"/>
      <c r="C86" s="132" t="s">
        <v>160</v>
      </c>
      <c r="D86" s="45"/>
      <c r="E86" s="143">
        <v>12610</v>
      </c>
      <c r="F86" s="135"/>
      <c r="G86" s="143">
        <v>12358</v>
      </c>
      <c r="H86" s="42"/>
    </row>
    <row r="87" spans="1:8" ht="9" customHeight="1">
      <c r="A87" s="44"/>
      <c r="B87" s="44"/>
      <c r="C87" s="62"/>
      <c r="D87" s="45"/>
      <c r="E87" s="136"/>
      <c r="F87" s="137"/>
      <c r="G87" s="136"/>
      <c r="H87" s="42"/>
    </row>
    <row r="88" spans="1:8" ht="15">
      <c r="A88" s="103" t="s">
        <v>161</v>
      </c>
      <c r="B88" s="44"/>
      <c r="C88" s="132" t="s">
        <v>162</v>
      </c>
      <c r="D88" s="45"/>
      <c r="E88" s="143">
        <v>199</v>
      </c>
      <c r="F88" s="135"/>
      <c r="G88" s="143">
        <v>86</v>
      </c>
      <c r="H88" s="42"/>
    </row>
    <row r="89" spans="1:8" ht="9" customHeight="1">
      <c r="A89" s="44"/>
      <c r="B89" s="44"/>
      <c r="C89" s="62"/>
      <c r="D89" s="45"/>
      <c r="E89" s="136"/>
      <c r="F89" s="137"/>
      <c r="G89" s="136"/>
      <c r="H89" s="42"/>
    </row>
    <row r="90" spans="1:11" ht="15">
      <c r="A90" s="103" t="s">
        <v>163</v>
      </c>
      <c r="B90" s="44"/>
      <c r="C90" s="132" t="s">
        <v>164</v>
      </c>
      <c r="D90" s="45"/>
      <c r="E90" s="143">
        <v>609</v>
      </c>
      <c r="F90" s="135"/>
      <c r="G90" s="143">
        <v>223</v>
      </c>
      <c r="H90" s="42"/>
      <c r="J90" s="147"/>
      <c r="K90" s="140"/>
    </row>
    <row r="91" spans="1:8" ht="9" customHeight="1">
      <c r="A91" s="44"/>
      <c r="B91" s="44"/>
      <c r="C91" s="62"/>
      <c r="D91" s="45"/>
      <c r="E91" s="136"/>
      <c r="F91" s="137"/>
      <c r="G91" s="136"/>
      <c r="H91" s="42"/>
    </row>
    <row r="92" spans="1:10" ht="15">
      <c r="A92" s="103" t="s">
        <v>165</v>
      </c>
      <c r="B92" s="44"/>
      <c r="C92" s="132" t="s">
        <v>166</v>
      </c>
      <c r="D92" s="45"/>
      <c r="E92" s="143">
        <v>412</v>
      </c>
      <c r="F92" s="135"/>
      <c r="G92" s="143">
        <v>507</v>
      </c>
      <c r="H92" s="42"/>
      <c r="J92" s="147"/>
    </row>
    <row r="93" spans="1:8" ht="9" customHeight="1">
      <c r="A93" s="44"/>
      <c r="B93" s="44"/>
      <c r="C93" s="62"/>
      <c r="D93" s="45"/>
      <c r="E93" s="136"/>
      <c r="F93" s="137"/>
      <c r="G93" s="136"/>
      <c r="H93" s="42"/>
    </row>
    <row r="94" spans="1:8" ht="15">
      <c r="A94" s="103" t="s">
        <v>167</v>
      </c>
      <c r="B94" s="44"/>
      <c r="C94" s="148" t="s">
        <v>168</v>
      </c>
      <c r="D94" s="45"/>
      <c r="E94" s="143">
        <v>0</v>
      </c>
      <c r="F94" s="135"/>
      <c r="G94" s="143"/>
      <c r="H94" s="42"/>
    </row>
    <row r="95" spans="1:10" ht="9.75" customHeight="1">
      <c r="A95" s="44"/>
      <c r="B95" s="44"/>
      <c r="C95" s="62"/>
      <c r="D95" s="45"/>
      <c r="E95" s="136"/>
      <c r="F95" s="137"/>
      <c r="G95" s="136"/>
      <c r="H95" s="42"/>
      <c r="J95" s="147"/>
    </row>
    <row r="96" spans="1:8" ht="15" customHeight="1">
      <c r="A96" s="103" t="s">
        <v>169</v>
      </c>
      <c r="B96" s="44"/>
      <c r="C96" s="132" t="s">
        <v>170</v>
      </c>
      <c r="D96" s="45"/>
      <c r="E96" s="143">
        <v>0</v>
      </c>
      <c r="F96" s="135"/>
      <c r="G96" s="143">
        <v>0</v>
      </c>
      <c r="H96" s="42"/>
    </row>
    <row r="97" spans="1:8" ht="8.25" customHeight="1">
      <c r="A97" s="31"/>
      <c r="B97" s="125"/>
      <c r="C97" s="129"/>
      <c r="D97" s="119"/>
      <c r="E97" s="130"/>
      <c r="F97" s="130"/>
      <c r="G97" s="130"/>
      <c r="H97" s="42"/>
    </row>
    <row r="98" spans="1:8" ht="16.5" customHeight="1">
      <c r="A98" s="142" t="s">
        <v>156</v>
      </c>
      <c r="B98" s="125"/>
      <c r="C98" s="142"/>
      <c r="D98" s="122"/>
      <c r="E98" s="142">
        <f>E84+E86+E88+E90+E92+E94+E96</f>
        <v>13830</v>
      </c>
      <c r="F98" s="130"/>
      <c r="G98" s="142">
        <f>G84+G86+G88+G90+G92+G94+G96</f>
        <v>16232</v>
      </c>
      <c r="H98" s="42"/>
    </row>
    <row r="99" spans="1:8" ht="9" customHeight="1">
      <c r="A99" s="86"/>
      <c r="B99" s="86"/>
      <c r="C99" s="123"/>
      <c r="D99" s="119"/>
      <c r="E99" s="149"/>
      <c r="F99" s="136"/>
      <c r="G99" s="149"/>
      <c r="H99" s="42"/>
    </row>
    <row r="100" spans="1:8" ht="16.5" customHeight="1">
      <c r="A100" s="126" t="s">
        <v>171</v>
      </c>
      <c r="B100" s="125"/>
      <c r="C100" s="126"/>
      <c r="D100" s="122"/>
      <c r="E100" s="126">
        <f>E67+E80+E98+E68</f>
        <v>28174</v>
      </c>
      <c r="F100" s="116"/>
      <c r="G100" s="126">
        <f>G67+G80+G98+G68</f>
        <v>27695</v>
      </c>
      <c r="H100" s="42"/>
    </row>
    <row r="101" spans="1:8" ht="15">
      <c r="A101" s="612">
        <f>IF(AND(E$42=E$100,G$42=G$100),"","Разлика между актива и пасива!")</f>
      </c>
      <c r="B101" s="612"/>
      <c r="C101" s="612"/>
      <c r="D101" s="150"/>
      <c r="E101" s="151">
        <f>IF(E$42=E$100,"",E42-E100)</f>
      </c>
      <c r="F101" s="152"/>
      <c r="G101" s="151">
        <f>IF(G$42=G$100,"",G42-G100)</f>
      </c>
      <c r="H101" s="153"/>
    </row>
    <row r="102" spans="1:8" ht="15">
      <c r="A102" s="608" t="str">
        <f>ОПР!A49</f>
        <v>Приложенията от страница 1 до страница 4 са неразделна част от финансовия отчет.</v>
      </c>
      <c r="B102" s="608"/>
      <c r="C102" s="608"/>
      <c r="D102" s="608"/>
      <c r="E102" s="608"/>
      <c r="F102" s="608"/>
      <c r="G102" s="608"/>
      <c r="H102" s="153"/>
    </row>
    <row r="103" spans="1:8" ht="15">
      <c r="A103" s="609">
        <f>IF(AND(E$42=E$100,G$42=G$100),"","Сума на актива:")</f>
      </c>
      <c r="B103" s="609"/>
      <c r="C103" s="609"/>
      <c r="D103" s="154"/>
      <c r="E103" s="155">
        <f>IF(E$42=E$100,"",E42)</f>
      </c>
      <c r="F103" s="154"/>
      <c r="G103" s="155">
        <f>IF(G$42=G$100,"",G42)</f>
      </c>
      <c r="H103" s="153"/>
    </row>
    <row r="104" spans="1:8" ht="15">
      <c r="A104" s="70" t="str">
        <f>НАЧАЛО!$A$44</f>
        <v>Представляващ:</v>
      </c>
      <c r="B104" s="156"/>
      <c r="C104" s="157"/>
      <c r="D104" s="150"/>
      <c r="E104" s="153"/>
      <c r="F104" s="153"/>
      <c r="G104" s="153"/>
      <c r="H104" s="153"/>
    </row>
    <row r="105" spans="1:8" ht="15">
      <c r="A105" s="73" t="s">
        <v>812</v>
      </c>
      <c r="B105" s="75"/>
      <c r="C105" s="157"/>
      <c r="D105" s="150"/>
      <c r="E105" s="158">
        <f>E100-E42</f>
        <v>0</v>
      </c>
      <c r="F105" s="153"/>
      <c r="G105" s="158">
        <f>G100-G42</f>
        <v>0</v>
      </c>
      <c r="H105" s="153"/>
    </row>
    <row r="106" spans="1:8" ht="15">
      <c r="A106" s="73"/>
      <c r="B106" s="75"/>
      <c r="C106" s="157"/>
      <c r="D106" s="150"/>
      <c r="E106" s="153"/>
      <c r="F106" s="153"/>
      <c r="G106" s="153"/>
      <c r="H106" s="153"/>
    </row>
    <row r="107" spans="1:8" ht="15">
      <c r="A107" s="73" t="s">
        <v>98</v>
      </c>
      <c r="B107" s="79"/>
      <c r="C107" s="157"/>
      <c r="D107" s="150"/>
      <c r="E107" s="153"/>
      <c r="F107" s="153"/>
      <c r="G107" s="153"/>
      <c r="H107" s="153"/>
    </row>
    <row r="108" spans="1:8" ht="15">
      <c r="A108" s="73"/>
      <c r="B108" s="79"/>
      <c r="C108" s="157"/>
      <c r="D108" s="150"/>
      <c r="E108" s="153"/>
      <c r="F108" s="153"/>
      <c r="G108" s="153"/>
      <c r="H108" s="153"/>
    </row>
    <row r="109" spans="1:8" ht="15">
      <c r="A109" s="75" t="str">
        <f>НАЧАЛО!$F$44</f>
        <v>Съставител:</v>
      </c>
      <c r="B109" s="79"/>
      <c r="C109" s="157"/>
      <c r="D109" s="150"/>
      <c r="E109" s="153"/>
      <c r="F109" s="153"/>
      <c r="G109" s="153"/>
      <c r="H109" s="153"/>
    </row>
    <row r="110" spans="1:8" ht="15">
      <c r="A110" s="78" t="s">
        <v>814</v>
      </c>
      <c r="B110" s="75"/>
      <c r="C110" s="157"/>
      <c r="D110" s="150"/>
      <c r="E110" s="153"/>
      <c r="F110" s="153"/>
      <c r="G110" s="153"/>
      <c r="H110" s="153"/>
    </row>
    <row r="111" spans="1:8" ht="15">
      <c r="A111" s="75"/>
      <c r="B111" s="159"/>
      <c r="C111" s="157"/>
      <c r="D111" s="150"/>
      <c r="E111" s="153"/>
      <c r="F111" s="153"/>
      <c r="G111" s="153"/>
      <c r="H111" s="153"/>
    </row>
    <row r="112" spans="1:8" ht="15">
      <c r="A112" s="78"/>
      <c r="B112" s="153"/>
      <c r="C112" s="157"/>
      <c r="D112" s="150"/>
      <c r="E112" s="153"/>
      <c r="F112" s="153"/>
      <c r="G112" s="153" t="s">
        <v>98</v>
      </c>
      <c r="H112" s="153"/>
    </row>
    <row r="113" spans="1:8" ht="15">
      <c r="A113" s="73"/>
      <c r="B113" s="153"/>
      <c r="C113" s="157"/>
      <c r="D113" s="150"/>
      <c r="E113" s="153"/>
      <c r="F113" s="153"/>
      <c r="G113" s="153"/>
      <c r="H113" s="153"/>
    </row>
    <row r="114" spans="1:8" ht="18.75">
      <c r="A114" s="80"/>
      <c r="B114" s="153"/>
      <c r="C114" s="157"/>
      <c r="D114" s="150"/>
      <c r="E114" s="153"/>
      <c r="F114" s="153"/>
      <c r="G114" s="153"/>
      <c r="H114" s="153"/>
    </row>
    <row r="115" spans="1:8" ht="15">
      <c r="A115" s="73" t="str">
        <f>НАЧАЛО!$C$58</f>
        <v>БУРГАС, 30 ноември 2010 г.</v>
      </c>
      <c r="B115" s="156"/>
      <c r="C115" s="157"/>
      <c r="D115" s="150"/>
      <c r="E115" s="153"/>
      <c r="F115" s="153"/>
      <c r="G115" s="153"/>
      <c r="H115" s="153"/>
    </row>
    <row r="120" spans="1:4" ht="15">
      <c r="A120" s="160"/>
      <c r="B120" s="160"/>
      <c r="C120" s="161"/>
      <c r="D120" s="43"/>
    </row>
    <row r="122" spans="1:4" ht="15">
      <c r="A122" s="160"/>
      <c r="B122" s="160"/>
      <c r="C122" s="161"/>
      <c r="D122" s="43"/>
    </row>
    <row r="123" spans="1:4" ht="15">
      <c r="A123" s="160"/>
      <c r="B123" s="160"/>
      <c r="C123" s="161"/>
      <c r="D123" s="43"/>
    </row>
    <row r="124" spans="1:2" ht="15">
      <c r="A124" s="161"/>
      <c r="B124" s="161"/>
    </row>
    <row r="126" spans="1:2" ht="15">
      <c r="A126" s="162"/>
      <c r="B126" s="162"/>
    </row>
    <row r="127" spans="1:2" ht="15">
      <c r="A127" s="163"/>
      <c r="B127" s="163"/>
    </row>
    <row r="128" spans="1:2" ht="15">
      <c r="A128" s="163"/>
      <c r="B128" s="163"/>
    </row>
    <row r="129" spans="1:2" ht="15">
      <c r="A129" s="162"/>
      <c r="B129" s="162"/>
    </row>
    <row r="130" spans="1:2" ht="15">
      <c r="A130" s="164"/>
      <c r="B130" s="164"/>
    </row>
    <row r="133" spans="1:2" ht="15">
      <c r="A133" s="165"/>
      <c r="B133" s="165"/>
    </row>
    <row r="134" spans="1:2" ht="15">
      <c r="A134" s="165"/>
      <c r="B134" s="165"/>
    </row>
    <row r="135" spans="1:2" ht="15">
      <c r="A135" s="166"/>
      <c r="B135" s="166"/>
    </row>
  </sheetData>
  <mergeCells count="7">
    <mergeCell ref="A101:C101"/>
    <mergeCell ref="A102:G102"/>
    <mergeCell ref="A103:C103"/>
    <mergeCell ref="A1:G1"/>
    <mergeCell ref="A2:G2"/>
    <mergeCell ref="A46:G46"/>
    <mergeCell ref="A47:G47"/>
  </mergeCells>
  <printOptions horizontalCentered="1"/>
  <pageMargins left="0.7479166666666667" right="0.7479166666666667" top="0.47222222222222227" bottom="0.7083333333333334" header="0.5118055555555556" footer="0.5118055555555556"/>
  <pageSetup firstPageNumber="1" useFirstPageNumber="1" fitToHeight="1" fitToWidth="1" horizontalDpi="300" verticalDpi="300" orientation="portrait" paperSize="9" scale="52" r:id="rId3"/>
  <rowBreaks count="1" manualBreakCount="1">
    <brk id="45" max="255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B2:N24"/>
  <sheetViews>
    <sheetView workbookViewId="0" topLeftCell="A1">
      <selection activeCell="B17" sqref="B17"/>
    </sheetView>
  </sheetViews>
  <sheetFormatPr defaultColWidth="9.140625" defaultRowHeight="12.75"/>
  <cols>
    <col min="1" max="1" width="9.140625" style="420" customWidth="1"/>
    <col min="2" max="2" width="26.7109375" style="420" customWidth="1"/>
    <col min="3" max="3" width="23.28125" style="420" customWidth="1"/>
    <col min="4" max="4" width="13.28125" style="420" customWidth="1"/>
    <col min="5" max="13" width="9.140625" style="420" customWidth="1"/>
    <col min="14" max="14" width="16.00390625" style="420" customWidth="1"/>
    <col min="15" max="16384" width="9.140625" style="420" customWidth="1"/>
  </cols>
  <sheetData>
    <row r="2" spans="2:6" ht="15">
      <c r="B2" s="741" t="s">
        <v>732</v>
      </c>
      <c r="C2" s="741"/>
      <c r="D2" s="741"/>
      <c r="F2" s="567" t="s">
        <v>733</v>
      </c>
    </row>
    <row r="3" spans="2:4" ht="12.75">
      <c r="B3" s="674" t="s">
        <v>734</v>
      </c>
      <c r="C3" s="674"/>
      <c r="D3" s="674"/>
    </row>
    <row r="4" spans="2:14" ht="34.5" customHeight="1">
      <c r="B4" s="568" t="s">
        <v>735</v>
      </c>
      <c r="C4" s="568" t="s">
        <v>736</v>
      </c>
      <c r="D4" s="568" t="s">
        <v>737</v>
      </c>
      <c r="E4" s="569"/>
      <c r="F4" s="742" t="s">
        <v>738</v>
      </c>
      <c r="G4" s="742"/>
      <c r="H4" s="742"/>
      <c r="I4" s="742"/>
      <c r="J4" s="742"/>
      <c r="K4" s="742"/>
      <c r="L4" s="742"/>
      <c r="M4" s="742"/>
      <c r="N4" s="742"/>
    </row>
    <row r="5" spans="2:14" ht="41.25" customHeight="1">
      <c r="B5" s="570"/>
      <c r="C5" s="571"/>
      <c r="D5" s="572"/>
      <c r="F5" s="742" t="s">
        <v>739</v>
      </c>
      <c r="G5" s="742"/>
      <c r="H5" s="742"/>
      <c r="I5" s="742"/>
      <c r="J5" s="742"/>
      <c r="K5" s="742"/>
      <c r="L5" s="742"/>
      <c r="M5" s="742"/>
      <c r="N5" s="742"/>
    </row>
    <row r="6" spans="2:6" ht="12.75">
      <c r="B6" s="572"/>
      <c r="C6" s="572"/>
      <c r="D6" s="572"/>
      <c r="F6" s="420" t="s">
        <v>740</v>
      </c>
    </row>
    <row r="7" spans="2:6" ht="12.75">
      <c r="B7" s="572"/>
      <c r="C7" s="572"/>
      <c r="D7" s="572"/>
      <c r="F7" s="420" t="s">
        <v>741</v>
      </c>
    </row>
    <row r="8" spans="2:6" ht="12.75">
      <c r="B8" s="572"/>
      <c r="C8" s="572"/>
      <c r="D8" s="572"/>
      <c r="F8" s="420" t="s">
        <v>742</v>
      </c>
    </row>
    <row r="9" spans="2:6" ht="12.75">
      <c r="B9" s="572"/>
      <c r="C9" s="572"/>
      <c r="D9" s="572"/>
      <c r="F9" s="420" t="s">
        <v>743</v>
      </c>
    </row>
    <row r="10" spans="2:4" ht="12.75">
      <c r="B10" s="572"/>
      <c r="C10" s="572"/>
      <c r="D10" s="572"/>
    </row>
    <row r="11" spans="2:4" ht="12.75">
      <c r="B11" s="572"/>
      <c r="C11" s="572"/>
      <c r="D11" s="572"/>
    </row>
    <row r="12" spans="2:4" ht="12.75">
      <c r="B12" s="572"/>
      <c r="C12" s="572"/>
      <c r="D12" s="572"/>
    </row>
    <row r="13" spans="2:4" ht="12.75">
      <c r="B13" s="572"/>
      <c r="C13" s="572"/>
      <c r="D13" s="572"/>
    </row>
    <row r="14" spans="2:4" ht="14.25">
      <c r="B14" s="741" t="s">
        <v>744</v>
      </c>
      <c r="C14" s="741"/>
      <c r="D14" s="741"/>
    </row>
    <row r="15" spans="2:4" ht="12.75">
      <c r="B15" s="674" t="s">
        <v>745</v>
      </c>
      <c r="C15" s="674"/>
      <c r="D15" s="674"/>
    </row>
    <row r="16" spans="2:4" ht="38.25">
      <c r="B16" s="568" t="s">
        <v>735</v>
      </c>
      <c r="C16" s="568" t="s">
        <v>746</v>
      </c>
      <c r="D16" s="568" t="s">
        <v>747</v>
      </c>
    </row>
    <row r="17" spans="2:4" ht="12.75">
      <c r="B17" s="570"/>
      <c r="C17" s="573"/>
      <c r="D17" s="572"/>
    </row>
    <row r="18" spans="2:4" ht="12.75">
      <c r="B18" s="572"/>
      <c r="C18" s="572"/>
      <c r="D18" s="572"/>
    </row>
    <row r="19" spans="2:4" ht="12.75">
      <c r="B19" s="572"/>
      <c r="C19" s="572"/>
      <c r="D19" s="572"/>
    </row>
    <row r="20" spans="2:4" ht="12.75">
      <c r="B20" s="572"/>
      <c r="C20" s="572"/>
      <c r="D20" s="572"/>
    </row>
    <row r="21" spans="2:4" ht="12.75">
      <c r="B21" s="572"/>
      <c r="C21" s="572"/>
      <c r="D21" s="572"/>
    </row>
    <row r="22" spans="2:4" ht="12.75">
      <c r="B22" s="572"/>
      <c r="C22" s="572"/>
      <c r="D22" s="572"/>
    </row>
    <row r="23" spans="2:4" ht="12.75">
      <c r="B23" s="572"/>
      <c r="C23" s="572"/>
      <c r="D23" s="572"/>
    </row>
    <row r="24" spans="2:4" ht="12.75">
      <c r="B24" s="572"/>
      <c r="C24" s="572"/>
      <c r="D24" s="572"/>
    </row>
  </sheetData>
  <mergeCells count="6">
    <mergeCell ref="B14:D14"/>
    <mergeCell ref="B15:D15"/>
    <mergeCell ref="B2:D2"/>
    <mergeCell ref="B3:D3"/>
    <mergeCell ref="F4:N4"/>
    <mergeCell ref="F5:N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23" sqref="A23"/>
    </sheetView>
  </sheetViews>
  <sheetFormatPr defaultColWidth="9.140625" defaultRowHeight="12.75"/>
  <cols>
    <col min="1" max="1" width="63.140625" style="574" customWidth="1"/>
    <col min="2" max="16384" width="11.421875" style="574" customWidth="1"/>
  </cols>
  <sheetData>
    <row r="1" ht="15.75">
      <c r="A1" s="575" t="s">
        <v>748</v>
      </c>
    </row>
    <row r="2" ht="15.75">
      <c r="A2" s="575"/>
    </row>
    <row r="3" ht="15.75">
      <c r="A3" s="574" t="s">
        <v>749</v>
      </c>
    </row>
    <row r="4" spans="4:6" ht="14.25" customHeight="1">
      <c r="D4" s="576" t="s">
        <v>750</v>
      </c>
      <c r="E4" s="576"/>
      <c r="F4" s="576" t="s">
        <v>751</v>
      </c>
    </row>
    <row r="5" spans="4:6" ht="15.75">
      <c r="D5" s="577" t="s">
        <v>752</v>
      </c>
      <c r="F5" s="577"/>
    </row>
    <row r="7" ht="15.75">
      <c r="A7" s="574" t="s">
        <v>753</v>
      </c>
    </row>
    <row r="9" spans="1:8" ht="15" customHeight="1">
      <c r="A9" s="743" t="s">
        <v>754</v>
      </c>
      <c r="B9" s="743"/>
      <c r="C9" s="743"/>
      <c r="D9" s="743"/>
      <c r="E9" s="743"/>
      <c r="F9" s="743"/>
      <c r="G9" s="743"/>
      <c r="H9" s="743"/>
    </row>
    <row r="10" spans="1:8" ht="15.75">
      <c r="A10" s="743"/>
      <c r="B10" s="743"/>
      <c r="C10" s="743"/>
      <c r="D10" s="743"/>
      <c r="E10" s="743"/>
      <c r="F10" s="743"/>
      <c r="G10" s="743"/>
      <c r="H10" s="743"/>
    </row>
    <row r="11" spans="1:8" ht="15.75">
      <c r="A11" s="578"/>
      <c r="B11" s="578"/>
      <c r="C11" s="578"/>
      <c r="D11" s="578"/>
      <c r="E11" s="578"/>
      <c r="F11" s="578"/>
      <c r="G11" s="578"/>
      <c r="H11" s="578"/>
    </row>
    <row r="12" spans="1:8" ht="15.75">
      <c r="A12" s="579"/>
      <c r="B12" s="579"/>
      <c r="C12" s="579"/>
      <c r="D12" s="579"/>
      <c r="E12" s="579"/>
      <c r="F12" s="579"/>
      <c r="G12" s="579"/>
      <c r="H12" s="579"/>
    </row>
    <row r="13" spans="1:8" ht="15.75">
      <c r="A13" s="579"/>
      <c r="B13" s="579"/>
      <c r="C13" s="579"/>
      <c r="D13" s="579"/>
      <c r="E13" s="579"/>
      <c r="F13" s="579"/>
      <c r="G13" s="579"/>
      <c r="H13" s="579"/>
    </row>
    <row r="14" spans="1:8" ht="15.75">
      <c r="A14" s="579"/>
      <c r="B14" s="579"/>
      <c r="C14" s="579"/>
      <c r="D14" s="579"/>
      <c r="E14" s="579"/>
      <c r="F14" s="579"/>
      <c r="G14" s="579"/>
      <c r="H14" s="579"/>
    </row>
    <row r="15" spans="1:8" ht="15.75">
      <c r="A15" s="579"/>
      <c r="B15" s="579"/>
      <c r="C15" s="579"/>
      <c r="D15" s="579"/>
      <c r="E15" s="579"/>
      <c r="F15" s="579"/>
      <c r="G15" s="579"/>
      <c r="H15" s="579"/>
    </row>
    <row r="16" spans="1:8" ht="15.75">
      <c r="A16" s="579"/>
      <c r="B16" s="579"/>
      <c r="C16" s="579"/>
      <c r="D16" s="579"/>
      <c r="E16" s="579"/>
      <c r="F16" s="579"/>
      <c r="G16" s="579"/>
      <c r="H16" s="579"/>
    </row>
    <row r="17" spans="1:8" ht="15.75">
      <c r="A17" s="579"/>
      <c r="B17" s="579"/>
      <c r="C17" s="579"/>
      <c r="D17" s="579"/>
      <c r="E17" s="579"/>
      <c r="F17" s="579"/>
      <c r="G17" s="579"/>
      <c r="H17" s="579"/>
    </row>
    <row r="18" spans="1:8" ht="15.75">
      <c r="A18" s="579"/>
      <c r="B18" s="579"/>
      <c r="C18" s="579"/>
      <c r="D18" s="579"/>
      <c r="E18" s="579"/>
      <c r="F18" s="579"/>
      <c r="G18" s="579"/>
      <c r="H18" s="579"/>
    </row>
    <row r="19" spans="1:8" ht="15.75">
      <c r="A19" s="579"/>
      <c r="B19" s="579"/>
      <c r="C19" s="579"/>
      <c r="D19" s="579"/>
      <c r="E19" s="579"/>
      <c r="F19" s="579"/>
      <c r="G19" s="579"/>
      <c r="H19" s="579"/>
    </row>
    <row r="20" spans="1:8" ht="15.75">
      <c r="A20" s="579"/>
      <c r="B20" s="579"/>
      <c r="C20" s="579"/>
      <c r="D20" s="579"/>
      <c r="E20" s="579"/>
      <c r="F20" s="579"/>
      <c r="G20" s="579"/>
      <c r="H20" s="579"/>
    </row>
    <row r="21" spans="1:8" ht="15.75">
      <c r="A21" s="579"/>
      <c r="B21" s="579"/>
      <c r="C21" s="579"/>
      <c r="D21" s="579"/>
      <c r="E21" s="579"/>
      <c r="F21" s="579"/>
      <c r="G21" s="579"/>
      <c r="H21" s="579"/>
    </row>
    <row r="22" spans="1:8" ht="15.75">
      <c r="A22" s="578"/>
      <c r="B22" s="578"/>
      <c r="C22" s="578"/>
      <c r="D22" s="578"/>
      <c r="E22" s="578"/>
      <c r="F22" s="578"/>
      <c r="G22" s="578"/>
      <c r="H22" s="578"/>
    </row>
    <row r="23" spans="1:8" ht="15" customHeight="1">
      <c r="A23" s="744" t="s">
        <v>755</v>
      </c>
      <c r="B23" s="744"/>
      <c r="C23" s="744"/>
      <c r="D23" s="744"/>
      <c r="E23" s="744"/>
      <c r="F23" s="744"/>
      <c r="G23" s="744"/>
      <c r="H23" s="744"/>
    </row>
    <row r="24" spans="1:8" ht="15.75">
      <c r="A24" s="744"/>
      <c r="B24" s="744"/>
      <c r="C24" s="744"/>
      <c r="D24" s="744"/>
      <c r="E24" s="744"/>
      <c r="F24" s="744"/>
      <c r="G24" s="744"/>
      <c r="H24" s="744"/>
    </row>
    <row r="25" spans="1:8" ht="15.75">
      <c r="A25" s="579"/>
      <c r="B25" s="579"/>
      <c r="C25" s="579"/>
      <c r="D25" s="579"/>
      <c r="E25" s="579"/>
      <c r="F25" s="579"/>
      <c r="G25" s="579"/>
      <c r="H25" s="579"/>
    </row>
    <row r="26" spans="1:8" ht="15.75">
      <c r="A26" s="579"/>
      <c r="B26" s="579"/>
      <c r="C26" s="579"/>
      <c r="D26" s="579"/>
      <c r="E26" s="579"/>
      <c r="F26" s="579"/>
      <c r="G26" s="579"/>
      <c r="H26" s="579"/>
    </row>
    <row r="27" spans="1:8" ht="15.75">
      <c r="A27" s="579"/>
      <c r="B27" s="579"/>
      <c r="C27" s="579"/>
      <c r="D27" s="579"/>
      <c r="E27" s="579"/>
      <c r="F27" s="579"/>
      <c r="G27" s="579"/>
      <c r="H27" s="579"/>
    </row>
    <row r="28" spans="1:8" ht="15.75">
      <c r="A28" s="579"/>
      <c r="B28" s="579"/>
      <c r="C28" s="579"/>
      <c r="D28" s="579"/>
      <c r="E28" s="579"/>
      <c r="F28" s="579"/>
      <c r="G28" s="579"/>
      <c r="H28" s="579"/>
    </row>
    <row r="29" spans="1:8" ht="15.75">
      <c r="A29" s="579"/>
      <c r="B29" s="579"/>
      <c r="C29" s="579"/>
      <c r="D29" s="579"/>
      <c r="E29" s="579"/>
      <c r="F29" s="579"/>
      <c r="G29" s="579"/>
      <c r="H29" s="579"/>
    </row>
    <row r="30" spans="1:8" ht="15.75">
      <c r="A30" s="579"/>
      <c r="B30" s="579"/>
      <c r="C30" s="579"/>
      <c r="D30" s="579"/>
      <c r="E30" s="579"/>
      <c r="F30" s="579"/>
      <c r="G30" s="579"/>
      <c r="H30" s="579"/>
    </row>
    <row r="31" spans="1:8" ht="15.75">
      <c r="A31" s="579"/>
      <c r="B31" s="579"/>
      <c r="C31" s="579"/>
      <c r="D31" s="579"/>
      <c r="E31" s="579"/>
      <c r="F31" s="579"/>
      <c r="G31" s="579"/>
      <c r="H31" s="579"/>
    </row>
    <row r="32" spans="1:8" ht="15.75">
      <c r="A32" s="579"/>
      <c r="B32" s="579"/>
      <c r="C32" s="579"/>
      <c r="D32" s="579"/>
      <c r="E32" s="579"/>
      <c r="F32" s="579"/>
      <c r="G32" s="579"/>
      <c r="H32" s="579"/>
    </row>
    <row r="33" spans="1:8" ht="15.75">
      <c r="A33" s="579"/>
      <c r="B33" s="579"/>
      <c r="C33" s="579"/>
      <c r="D33" s="579"/>
      <c r="E33" s="579"/>
      <c r="F33" s="579"/>
      <c r="G33" s="579"/>
      <c r="H33" s="579"/>
    </row>
  </sheetData>
  <mergeCells count="2">
    <mergeCell ref="A9:H10"/>
    <mergeCell ref="A23:H2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4:K17"/>
  <sheetViews>
    <sheetView workbookViewId="0" topLeftCell="A1">
      <selection activeCell="J3" sqref="J3"/>
    </sheetView>
  </sheetViews>
  <sheetFormatPr defaultColWidth="9.140625" defaultRowHeight="12.75"/>
  <cols>
    <col min="1" max="1" width="57.7109375" style="172" customWidth="1"/>
    <col min="2" max="16384" width="9.140625" style="172" customWidth="1"/>
  </cols>
  <sheetData>
    <row r="4" ht="15.75">
      <c r="A4" s="522" t="s">
        <v>756</v>
      </c>
    </row>
    <row r="6" spans="1:11" ht="15.75">
      <c r="A6" s="580"/>
      <c r="B6" s="745">
        <v>2008</v>
      </c>
      <c r="C6" s="745"/>
      <c r="D6" s="745"/>
      <c r="E6" s="745"/>
      <c r="F6" s="581"/>
      <c r="G6" s="745">
        <v>2007</v>
      </c>
      <c r="H6" s="745"/>
      <c r="I6" s="745"/>
      <c r="J6" s="745"/>
      <c r="K6" s="745"/>
    </row>
    <row r="7" spans="1:11" ht="15" customHeight="1">
      <c r="A7" s="580"/>
      <c r="B7" s="745" t="s">
        <v>757</v>
      </c>
      <c r="C7" s="745"/>
      <c r="D7" s="745"/>
      <c r="E7" s="745"/>
      <c r="F7" s="581"/>
      <c r="G7" s="745" t="s">
        <v>757</v>
      </c>
      <c r="H7" s="745"/>
      <c r="I7" s="745"/>
      <c r="J7" s="745"/>
      <c r="K7" s="745"/>
    </row>
    <row r="8" spans="1:11" ht="15.75">
      <c r="A8" s="582"/>
      <c r="B8" s="582"/>
      <c r="C8" s="582"/>
      <c r="D8" s="582"/>
      <c r="E8" s="582"/>
      <c r="F8" s="582"/>
      <c r="G8" s="582"/>
      <c r="H8" s="582"/>
      <c r="I8" s="582"/>
      <c r="J8" s="582"/>
      <c r="K8" s="582"/>
    </row>
    <row r="9" spans="1:11" ht="47.25">
      <c r="A9" s="583" t="s">
        <v>758</v>
      </c>
      <c r="B9" s="584" t="s">
        <v>759</v>
      </c>
      <c r="C9" s="584" t="s">
        <v>760</v>
      </c>
      <c r="D9" s="584" t="s">
        <v>761</v>
      </c>
      <c r="E9" s="584" t="s">
        <v>62</v>
      </c>
      <c r="F9" s="584" t="s">
        <v>231</v>
      </c>
      <c r="G9" s="584" t="s">
        <v>762</v>
      </c>
      <c r="H9" s="584" t="s">
        <v>760</v>
      </c>
      <c r="I9" s="584" t="s">
        <v>763</v>
      </c>
      <c r="J9" s="584" t="s">
        <v>62</v>
      </c>
      <c r="K9" s="584" t="s">
        <v>231</v>
      </c>
    </row>
    <row r="10" spans="1:11" ht="15.75">
      <c r="A10" s="582"/>
      <c r="B10" s="582"/>
      <c r="C10" s="582"/>
      <c r="D10" s="582"/>
      <c r="E10" s="582"/>
      <c r="F10" s="583">
        <f>SUM(B10:E10)</f>
        <v>0</v>
      </c>
      <c r="G10" s="582"/>
      <c r="H10" s="582"/>
      <c r="I10" s="582"/>
      <c r="J10" s="582"/>
      <c r="K10" s="583">
        <f>SUM(G10:J10)</f>
        <v>0</v>
      </c>
    </row>
    <row r="11" spans="1:11" ht="15.75">
      <c r="A11" s="582" t="s">
        <v>764</v>
      </c>
      <c r="B11" s="585"/>
      <c r="C11" s="585"/>
      <c r="D11" s="585">
        <v>0</v>
      </c>
      <c r="E11" s="585"/>
      <c r="F11" s="583">
        <f aca="true" t="shared" si="0" ref="F11:F17">SUM(B11:E11)</f>
        <v>0</v>
      </c>
      <c r="G11" s="585"/>
      <c r="H11" s="585"/>
      <c r="I11" s="585"/>
      <c r="J11" s="585"/>
      <c r="K11" s="583">
        <f aca="true" t="shared" si="1" ref="K11:K17">SUM(G11:J11)</f>
        <v>0</v>
      </c>
    </row>
    <row r="12" spans="1:11" ht="15.75">
      <c r="A12" s="586" t="s">
        <v>668</v>
      </c>
      <c r="B12" s="587"/>
      <c r="C12" s="587"/>
      <c r="D12" s="587"/>
      <c r="E12" s="587"/>
      <c r="F12" s="588">
        <f t="shared" si="0"/>
        <v>0</v>
      </c>
      <c r="G12" s="587"/>
      <c r="H12" s="587"/>
      <c r="I12" s="587"/>
      <c r="J12" s="587"/>
      <c r="K12" s="588">
        <f t="shared" si="1"/>
        <v>0</v>
      </c>
    </row>
    <row r="13" spans="1:11" ht="15.75">
      <c r="A13" s="583" t="s">
        <v>765</v>
      </c>
      <c r="B13" s="584">
        <f>B11-B12</f>
        <v>0</v>
      </c>
      <c r="C13" s="584">
        <f aca="true" t="shared" si="2" ref="C13:J13">C11-C12</f>
        <v>0</v>
      </c>
      <c r="D13" s="584">
        <f t="shared" si="2"/>
        <v>0</v>
      </c>
      <c r="E13" s="584">
        <f t="shared" si="2"/>
        <v>0</v>
      </c>
      <c r="F13" s="583">
        <f t="shared" si="0"/>
        <v>0</v>
      </c>
      <c r="G13" s="584">
        <f t="shared" si="2"/>
        <v>0</v>
      </c>
      <c r="H13" s="584">
        <f t="shared" si="2"/>
        <v>0</v>
      </c>
      <c r="I13" s="584">
        <f t="shared" si="2"/>
        <v>0</v>
      </c>
      <c r="J13" s="584">
        <f t="shared" si="2"/>
        <v>0</v>
      </c>
      <c r="K13" s="583">
        <f t="shared" si="1"/>
        <v>0</v>
      </c>
    </row>
    <row r="14" spans="1:11" ht="15.75">
      <c r="A14" s="582"/>
      <c r="B14" s="585"/>
      <c r="C14" s="585"/>
      <c r="D14" s="585"/>
      <c r="E14" s="585"/>
      <c r="F14" s="583">
        <f t="shared" si="0"/>
        <v>0</v>
      </c>
      <c r="G14" s="585"/>
      <c r="H14" s="585"/>
      <c r="I14" s="585"/>
      <c r="J14" s="585"/>
      <c r="K14" s="583">
        <f t="shared" si="1"/>
        <v>0</v>
      </c>
    </row>
    <row r="15" spans="1:11" ht="15.75">
      <c r="A15" s="582" t="s">
        <v>764</v>
      </c>
      <c r="B15" s="585"/>
      <c r="C15" s="585"/>
      <c r="D15" s="585"/>
      <c r="E15" s="585"/>
      <c r="F15" s="583">
        <f t="shared" si="0"/>
        <v>0</v>
      </c>
      <c r="G15" s="585"/>
      <c r="H15" s="585"/>
      <c r="I15" s="585"/>
      <c r="J15" s="585"/>
      <c r="K15" s="583">
        <f t="shared" si="1"/>
        <v>0</v>
      </c>
    </row>
    <row r="16" spans="1:11" ht="15.75">
      <c r="A16" s="586" t="s">
        <v>668</v>
      </c>
      <c r="B16" s="587"/>
      <c r="C16" s="587"/>
      <c r="D16" s="587"/>
      <c r="E16" s="587"/>
      <c r="F16" s="588">
        <f t="shared" si="0"/>
        <v>0</v>
      </c>
      <c r="G16" s="587"/>
      <c r="H16" s="587"/>
      <c r="I16" s="587"/>
      <c r="J16" s="587"/>
      <c r="K16" s="588">
        <f t="shared" si="1"/>
        <v>0</v>
      </c>
    </row>
    <row r="17" spans="1:11" ht="15.75">
      <c r="A17" s="583" t="s">
        <v>766</v>
      </c>
      <c r="B17" s="584">
        <f>B15-B16</f>
        <v>0</v>
      </c>
      <c r="C17" s="584">
        <f aca="true" t="shared" si="3" ref="C17:J17">C15-C16</f>
        <v>0</v>
      </c>
      <c r="D17" s="584">
        <f t="shared" si="3"/>
        <v>0</v>
      </c>
      <c r="E17" s="584">
        <f t="shared" si="3"/>
        <v>0</v>
      </c>
      <c r="F17" s="583">
        <f t="shared" si="0"/>
        <v>0</v>
      </c>
      <c r="G17" s="584">
        <f t="shared" si="3"/>
        <v>0</v>
      </c>
      <c r="H17" s="584">
        <f t="shared" si="3"/>
        <v>0</v>
      </c>
      <c r="I17" s="584">
        <f t="shared" si="3"/>
        <v>0</v>
      </c>
      <c r="J17" s="584">
        <f t="shared" si="3"/>
        <v>0</v>
      </c>
      <c r="K17" s="583">
        <f t="shared" si="1"/>
        <v>0</v>
      </c>
    </row>
  </sheetData>
  <mergeCells count="4">
    <mergeCell ref="B6:E6"/>
    <mergeCell ref="G6:K6"/>
    <mergeCell ref="B7:E7"/>
    <mergeCell ref="G7:K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K38"/>
  <sheetViews>
    <sheetView workbookViewId="0" topLeftCell="A1">
      <selection activeCell="H33" sqref="H33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5" width="9.140625" style="1" customWidth="1"/>
    <col min="6" max="6" width="9.421875" style="1" customWidth="1"/>
    <col min="7" max="9" width="9.140625" style="1" customWidth="1"/>
    <col min="10" max="10" width="2.8515625" style="1" customWidth="1"/>
    <col min="11" max="16384" width="9.140625" style="1" customWidth="1"/>
  </cols>
  <sheetData>
    <row r="1" spans="2:9" ht="14.25">
      <c r="B1" s="705" t="s">
        <v>767</v>
      </c>
      <c r="C1" s="705"/>
      <c r="D1" s="705"/>
      <c r="E1" s="705"/>
      <c r="F1" s="705"/>
      <c r="G1" s="705"/>
      <c r="H1" s="705"/>
      <c r="I1" s="705"/>
    </row>
    <row r="2" spans="2:9" ht="12.75">
      <c r="B2" s="704" t="s">
        <v>768</v>
      </c>
      <c r="C2" s="719" t="s">
        <v>767</v>
      </c>
      <c r="D2" s="719"/>
      <c r="E2" s="719"/>
      <c r="F2" s="589" t="str">
        <f>CONCATENATE(YEAR(НАЧАЛО!$AA$2)," г.")</f>
        <v>2010 г.</v>
      </c>
      <c r="G2" s="589" t="str">
        <f>CONCATENATE(YEAR(НАЧАЛО!$AA$2)-1," г.")</f>
        <v>2009 г.</v>
      </c>
      <c r="H2" s="704" t="s">
        <v>769</v>
      </c>
      <c r="I2" s="704"/>
    </row>
    <row r="3" spans="2:9" ht="12.75">
      <c r="B3" s="704"/>
      <c r="C3" s="719"/>
      <c r="D3" s="719"/>
      <c r="E3" s="719"/>
      <c r="F3" s="409" t="s">
        <v>402</v>
      </c>
      <c r="G3" s="409" t="s">
        <v>402</v>
      </c>
      <c r="H3" s="409" t="s">
        <v>402</v>
      </c>
      <c r="I3" s="409" t="s">
        <v>770</v>
      </c>
    </row>
    <row r="4" spans="2:9" ht="12.75">
      <c r="B4" s="480">
        <v>1</v>
      </c>
      <c r="C4" s="746" t="s">
        <v>771</v>
      </c>
      <c r="D4" s="746"/>
      <c r="E4" s="746"/>
      <c r="F4" s="317">
        <f>баланс!E23</f>
        <v>8168</v>
      </c>
      <c r="G4" s="317">
        <f>баланс!G23</f>
        <v>9543</v>
      </c>
      <c r="H4" s="317">
        <f aca="true" t="shared" si="0" ref="H4:H19">F4-G4</f>
        <v>-1375</v>
      </c>
      <c r="I4" s="590">
        <f>H4/G4</f>
        <v>-0.14408466939117678</v>
      </c>
    </row>
    <row r="5" spans="2:9" ht="12.75">
      <c r="B5" s="480">
        <v>2</v>
      </c>
      <c r="C5" s="746" t="s">
        <v>772</v>
      </c>
      <c r="D5" s="746"/>
      <c r="E5" s="746"/>
      <c r="F5" s="317">
        <f>SUM(F6:F10)</f>
        <v>20006</v>
      </c>
      <c r="G5" s="317">
        <f>SUM(G6:G10)</f>
        <v>18152</v>
      </c>
      <c r="H5" s="317">
        <f t="shared" si="0"/>
        <v>1854</v>
      </c>
      <c r="I5" s="590">
        <f aca="true" t="shared" si="1" ref="I5:I19">H5/G5</f>
        <v>0.10213750550903482</v>
      </c>
    </row>
    <row r="6" spans="2:9" ht="12.75" hidden="1">
      <c r="B6" s="480">
        <v>3</v>
      </c>
      <c r="C6" s="746" t="s">
        <v>773</v>
      </c>
      <c r="D6" s="746"/>
      <c r="E6" s="746"/>
      <c r="F6" s="317">
        <f>баланс!E27</f>
        <v>0</v>
      </c>
      <c r="G6" s="317">
        <f>баланс!G27</f>
        <v>0</v>
      </c>
      <c r="H6" s="317">
        <f t="shared" si="0"/>
        <v>0</v>
      </c>
      <c r="I6" s="590" t="s">
        <v>774</v>
      </c>
    </row>
    <row r="7" spans="2:9" ht="12.75">
      <c r="B7" s="480">
        <v>4</v>
      </c>
      <c r="C7" s="746" t="s">
        <v>118</v>
      </c>
      <c r="D7" s="746"/>
      <c r="E7" s="746"/>
      <c r="F7" s="317">
        <f>баланс!E29</f>
        <v>7572</v>
      </c>
      <c r="G7" s="317">
        <f>баланс!G29</f>
        <v>6626</v>
      </c>
      <c r="H7" s="317">
        <f t="shared" si="0"/>
        <v>946</v>
      </c>
      <c r="I7" s="590" t="s">
        <v>774</v>
      </c>
    </row>
    <row r="8" spans="2:9" ht="12.75">
      <c r="B8" s="480">
        <v>5</v>
      </c>
      <c r="C8" s="746" t="s">
        <v>775</v>
      </c>
      <c r="D8" s="746"/>
      <c r="E8" s="746"/>
      <c r="F8" s="317">
        <f>баланс!E31+баланс!E34</f>
        <v>11449</v>
      </c>
      <c r="G8" s="317">
        <f>баланс!G31+баланс!G34</f>
        <v>9879</v>
      </c>
      <c r="H8" s="317">
        <f t="shared" si="0"/>
        <v>1570</v>
      </c>
      <c r="I8" s="590">
        <f t="shared" si="1"/>
        <v>0.15892296791173197</v>
      </c>
    </row>
    <row r="9" spans="2:9" ht="12.75" hidden="1">
      <c r="B9" s="480">
        <v>6</v>
      </c>
      <c r="C9" s="746" t="s">
        <v>776</v>
      </c>
      <c r="D9" s="746"/>
      <c r="E9" s="746"/>
      <c r="F9" s="317">
        <f>баланс!E36</f>
        <v>0</v>
      </c>
      <c r="G9" s="317">
        <f>баланс!G36</f>
        <v>0</v>
      </c>
      <c r="H9" s="317">
        <f t="shared" si="0"/>
        <v>0</v>
      </c>
      <c r="I9" s="590" t="s">
        <v>774</v>
      </c>
    </row>
    <row r="10" spans="2:9" ht="12.75">
      <c r="B10" s="480">
        <v>7</v>
      </c>
      <c r="C10" s="746" t="s">
        <v>126</v>
      </c>
      <c r="D10" s="746"/>
      <c r="E10" s="746"/>
      <c r="F10" s="317">
        <f>баланс!E38</f>
        <v>985</v>
      </c>
      <c r="G10" s="317">
        <f>баланс!G38</f>
        <v>1647</v>
      </c>
      <c r="H10" s="317">
        <f t="shared" si="0"/>
        <v>-662</v>
      </c>
      <c r="I10" s="590">
        <f t="shared" si="1"/>
        <v>-0.4019429265330905</v>
      </c>
    </row>
    <row r="11" spans="2:9" ht="12.75">
      <c r="B11" s="480">
        <v>8</v>
      </c>
      <c r="C11" s="746" t="s">
        <v>777</v>
      </c>
      <c r="D11" s="746"/>
      <c r="E11" s="746"/>
      <c r="F11" s="317">
        <f>F4+F5</f>
        <v>28174</v>
      </c>
      <c r="G11" s="317">
        <f>G4+G5</f>
        <v>27695</v>
      </c>
      <c r="H11" s="317">
        <f t="shared" si="0"/>
        <v>479</v>
      </c>
      <c r="I11" s="590">
        <f t="shared" si="1"/>
        <v>0.017295540711319734</v>
      </c>
    </row>
    <row r="12" spans="2:9" ht="12.75">
      <c r="B12" s="480">
        <v>9</v>
      </c>
      <c r="C12" s="746" t="s">
        <v>131</v>
      </c>
      <c r="D12" s="746"/>
      <c r="E12" s="746"/>
      <c r="F12" s="317">
        <f>баланс!E67</f>
        <v>5335</v>
      </c>
      <c r="G12" s="317">
        <f>баланс!G67</f>
        <v>6998</v>
      </c>
      <c r="H12" s="317">
        <f t="shared" si="0"/>
        <v>-1663</v>
      </c>
      <c r="I12" s="590">
        <f t="shared" si="1"/>
        <v>-0.2376393255215776</v>
      </c>
    </row>
    <row r="13" spans="2:9" ht="12.75">
      <c r="B13" s="480">
        <v>10</v>
      </c>
      <c r="C13" s="746" t="s">
        <v>141</v>
      </c>
      <c r="D13" s="746"/>
      <c r="E13" s="746"/>
      <c r="F13" s="317">
        <f>баланс!E65</f>
        <v>-112</v>
      </c>
      <c r="G13" s="317">
        <f>баланс!G65</f>
        <v>112</v>
      </c>
      <c r="H13" s="317">
        <f t="shared" si="0"/>
        <v>-224</v>
      </c>
      <c r="I13" s="590">
        <f t="shared" si="1"/>
        <v>-2</v>
      </c>
    </row>
    <row r="14" spans="2:9" ht="12.75">
      <c r="B14" s="480">
        <v>11</v>
      </c>
      <c r="C14" s="746" t="s">
        <v>778</v>
      </c>
      <c r="D14" s="746"/>
      <c r="E14" s="746"/>
      <c r="F14" s="317">
        <f>баланс!E80</f>
        <v>8971</v>
      </c>
      <c r="G14" s="317">
        <f>баланс!G80</f>
        <v>4270</v>
      </c>
      <c r="H14" s="317">
        <f t="shared" si="0"/>
        <v>4701</v>
      </c>
      <c r="I14" s="590">
        <f t="shared" si="1"/>
        <v>1.100936768149883</v>
      </c>
    </row>
    <row r="15" spans="2:9" ht="12.75">
      <c r="B15" s="480">
        <v>12</v>
      </c>
      <c r="C15" s="746" t="s">
        <v>779</v>
      </c>
      <c r="D15" s="746"/>
      <c r="E15" s="746"/>
      <c r="F15" s="317">
        <f>баланс!E98</f>
        <v>13830</v>
      </c>
      <c r="G15" s="317">
        <f>баланс!G98</f>
        <v>16232</v>
      </c>
      <c r="H15" s="317">
        <f t="shared" si="0"/>
        <v>-2402</v>
      </c>
      <c r="I15" s="590">
        <f t="shared" si="1"/>
        <v>-0.1479793001478561</v>
      </c>
    </row>
    <row r="16" spans="2:9" ht="12.75">
      <c r="B16" s="480">
        <v>13</v>
      </c>
      <c r="C16" s="746" t="s">
        <v>780</v>
      </c>
      <c r="D16" s="746"/>
      <c r="E16" s="746"/>
      <c r="F16" s="317">
        <f>F14+F15</f>
        <v>22801</v>
      </c>
      <c r="G16" s="317">
        <f>G14+G15</f>
        <v>20502</v>
      </c>
      <c r="H16" s="317">
        <f t="shared" si="0"/>
        <v>2299</v>
      </c>
      <c r="I16" s="590">
        <f t="shared" si="1"/>
        <v>0.1121354014242513</v>
      </c>
    </row>
    <row r="17" spans="2:9" ht="12.75">
      <c r="B17" s="480">
        <v>14</v>
      </c>
      <c r="C17" s="746" t="s">
        <v>781</v>
      </c>
      <c r="D17" s="746"/>
      <c r="E17" s="746"/>
      <c r="F17" s="317">
        <f>ОПР!E18</f>
        <v>5302</v>
      </c>
      <c r="G17" s="317">
        <f>ОПР!G18</f>
        <v>4510</v>
      </c>
      <c r="H17" s="317">
        <f t="shared" si="0"/>
        <v>792</v>
      </c>
      <c r="I17" s="590">
        <f t="shared" si="1"/>
        <v>0.17560975609756097</v>
      </c>
    </row>
    <row r="18" spans="2:9" ht="12.75">
      <c r="B18" s="480">
        <v>15</v>
      </c>
      <c r="C18" s="746" t="s">
        <v>497</v>
      </c>
      <c r="D18" s="746"/>
      <c r="E18" s="746"/>
      <c r="F18" s="317">
        <f>ОПР!E10</f>
        <v>5063</v>
      </c>
      <c r="G18" s="317">
        <f>ОПР!G10</f>
        <v>4028</v>
      </c>
      <c r="H18" s="317">
        <f t="shared" si="0"/>
        <v>1035</v>
      </c>
      <c r="I18" s="590">
        <f t="shared" si="1"/>
        <v>0.2569513406156902</v>
      </c>
    </row>
    <row r="19" spans="2:9" ht="12.75">
      <c r="B19" s="480">
        <v>16</v>
      </c>
      <c r="C19" s="746" t="s">
        <v>782</v>
      </c>
      <c r="D19" s="746"/>
      <c r="E19" s="746"/>
      <c r="F19" s="317">
        <f>ABS(ОПР!E37)</f>
        <v>5414</v>
      </c>
      <c r="G19" s="317">
        <f>ABS(ОПР!G37)</f>
        <v>4375</v>
      </c>
      <c r="H19" s="317">
        <f t="shared" si="0"/>
        <v>1039</v>
      </c>
      <c r="I19" s="590">
        <f t="shared" si="1"/>
        <v>0.23748571428571427</v>
      </c>
    </row>
    <row r="20" spans="2:9" ht="14.25">
      <c r="B20" s="705" t="s">
        <v>783</v>
      </c>
      <c r="C20" s="705"/>
      <c r="D20" s="705"/>
      <c r="E20" s="705"/>
      <c r="F20" s="705"/>
      <c r="G20" s="705"/>
      <c r="H20" s="705"/>
      <c r="I20" s="705"/>
    </row>
    <row r="21" spans="2:9" ht="12.75">
      <c r="B21" s="704" t="s">
        <v>768</v>
      </c>
      <c r="C21" s="719" t="s">
        <v>783</v>
      </c>
      <c r="D21" s="719"/>
      <c r="E21" s="719"/>
      <c r="F21" s="589" t="str">
        <f>CONCATENATE(YEAR(НАЧАЛО!$AA$2)," г.")</f>
        <v>2010 г.</v>
      </c>
      <c r="G21" s="589" t="str">
        <f>CONCATENATE(YEAR(НАЧАЛО!$AA$2)-1," г.")</f>
        <v>2009 г.</v>
      </c>
      <c r="H21" s="704" t="s">
        <v>769</v>
      </c>
      <c r="I21" s="704"/>
    </row>
    <row r="22" spans="2:9" ht="12.75">
      <c r="B22" s="704"/>
      <c r="C22" s="719"/>
      <c r="D22" s="719"/>
      <c r="E22" s="719"/>
      <c r="F22" s="409" t="s">
        <v>402</v>
      </c>
      <c r="G22" s="409" t="s">
        <v>402</v>
      </c>
      <c r="H22" s="409" t="s">
        <v>402</v>
      </c>
      <c r="I22" s="409" t="s">
        <v>770</v>
      </c>
    </row>
    <row r="23" spans="2:9" ht="12.75">
      <c r="B23" s="409"/>
      <c r="C23" s="719" t="s">
        <v>784</v>
      </c>
      <c r="D23" s="719"/>
      <c r="E23" s="719"/>
      <c r="F23" s="591"/>
      <c r="G23" s="591"/>
      <c r="H23" s="591"/>
      <c r="I23" s="591"/>
    </row>
    <row r="24" spans="2:11" ht="12.75">
      <c r="B24" s="480">
        <v>1</v>
      </c>
      <c r="C24" s="746" t="s">
        <v>785</v>
      </c>
      <c r="D24" s="746"/>
      <c r="E24" s="746"/>
      <c r="F24" s="481">
        <f>F13/F12</f>
        <v>-0.02099343955014058</v>
      </c>
      <c r="G24" s="481">
        <f>G13/G12</f>
        <v>0.01600457273506716</v>
      </c>
      <c r="H24" s="481">
        <f>F24-G24</f>
        <v>-0.03699801228520774</v>
      </c>
      <c r="I24" s="590">
        <f>H24/G24</f>
        <v>-2.311715089034677</v>
      </c>
      <c r="K24" s="592" t="s">
        <v>786</v>
      </c>
    </row>
    <row r="25" spans="2:11" ht="12.75">
      <c r="B25" s="480">
        <v>2</v>
      </c>
      <c r="C25" s="746" t="s">
        <v>787</v>
      </c>
      <c r="D25" s="746"/>
      <c r="E25" s="746"/>
      <c r="F25" s="481">
        <f>F13/F11</f>
        <v>-0.00397529637254206</v>
      </c>
      <c r="G25" s="481">
        <f>G13/G11</f>
        <v>0.004044051272792923</v>
      </c>
      <c r="H25" s="481">
        <f>F25-G25</f>
        <v>-0.008019347645334983</v>
      </c>
      <c r="I25" s="590">
        <f>H25/G25</f>
        <v>-1.9829985092638605</v>
      </c>
      <c r="K25" s="1" t="s">
        <v>788</v>
      </c>
    </row>
    <row r="26" spans="2:11" ht="12.75">
      <c r="B26" s="480">
        <v>3</v>
      </c>
      <c r="C26" s="746" t="s">
        <v>789</v>
      </c>
      <c r="D26" s="746"/>
      <c r="E26" s="746"/>
      <c r="F26" s="481">
        <f>F13/F16</f>
        <v>-0.004912065260295601</v>
      </c>
      <c r="G26" s="481">
        <f>G13/G16</f>
        <v>0.0054628816700809674</v>
      </c>
      <c r="H26" s="481">
        <f>F26-G26</f>
        <v>-0.010374946930376569</v>
      </c>
      <c r="I26" s="590">
        <f>H26/G26</f>
        <v>-1.8991710889873252</v>
      </c>
      <c r="K26" s="1" t="s">
        <v>790</v>
      </c>
    </row>
    <row r="27" spans="2:11" ht="12.75">
      <c r="B27" s="480">
        <v>4</v>
      </c>
      <c r="C27" s="746" t="s">
        <v>791</v>
      </c>
      <c r="D27" s="746"/>
      <c r="E27" s="746"/>
      <c r="F27" s="481">
        <f>F13/F18</f>
        <v>-0.022121271973138457</v>
      </c>
      <c r="G27" s="481">
        <f>G13/G18</f>
        <v>0.027805362462760674</v>
      </c>
      <c r="H27" s="481">
        <f>F27-G27</f>
        <v>-0.049926634435899134</v>
      </c>
      <c r="I27" s="590">
        <f>H27/G27</f>
        <v>-1.7955757456053725</v>
      </c>
      <c r="K27" s="1" t="s">
        <v>792</v>
      </c>
    </row>
    <row r="28" spans="2:9" ht="12.75">
      <c r="B28" s="480"/>
      <c r="C28" s="719" t="s">
        <v>793</v>
      </c>
      <c r="D28" s="719"/>
      <c r="E28" s="719"/>
      <c r="F28" s="481"/>
      <c r="G28" s="481"/>
      <c r="H28" s="481"/>
      <c r="I28" s="317"/>
    </row>
    <row r="29" spans="2:11" ht="12.75">
      <c r="B29" s="480">
        <v>5</v>
      </c>
      <c r="C29" s="748" t="s">
        <v>794</v>
      </c>
      <c r="D29" s="748"/>
      <c r="E29" s="748"/>
      <c r="F29" s="481">
        <f>F17/F19</f>
        <v>0.9793128925009236</v>
      </c>
      <c r="G29" s="481">
        <f>G17/G19</f>
        <v>1.030857142857143</v>
      </c>
      <c r="H29" s="481">
        <f>F29-G29</f>
        <v>-0.051544250356219345</v>
      </c>
      <c r="I29" s="590">
        <f>H29/G29</f>
        <v>-0.05000135150963628</v>
      </c>
      <c r="K29" s="1" t="s">
        <v>795</v>
      </c>
    </row>
    <row r="30" spans="2:11" ht="12.75">
      <c r="B30" s="480">
        <v>6</v>
      </c>
      <c r="C30" s="746" t="s">
        <v>796</v>
      </c>
      <c r="D30" s="746"/>
      <c r="E30" s="746"/>
      <c r="F30" s="481">
        <f>F19/F17</f>
        <v>1.0211241041116559</v>
      </c>
      <c r="G30" s="481">
        <f>G19/G17</f>
        <v>0.9700665188470067</v>
      </c>
      <c r="H30" s="481">
        <f>F30-G30</f>
        <v>0.05105758526464921</v>
      </c>
      <c r="I30" s="590">
        <f>H30/G30</f>
        <v>0.05263307646710124</v>
      </c>
      <c r="K30" s="1" t="s">
        <v>797</v>
      </c>
    </row>
    <row r="31" spans="2:9" ht="12.75">
      <c r="B31" s="480"/>
      <c r="C31" s="747" t="s">
        <v>798</v>
      </c>
      <c r="D31" s="747"/>
      <c r="E31" s="747"/>
      <c r="F31" s="481"/>
      <c r="G31" s="481"/>
      <c r="H31" s="481"/>
      <c r="I31" s="317"/>
    </row>
    <row r="32" spans="2:11" ht="12.75">
      <c r="B32" s="480">
        <v>7</v>
      </c>
      <c r="C32" s="746" t="s">
        <v>799</v>
      </c>
      <c r="D32" s="746"/>
      <c r="E32" s="746"/>
      <c r="F32" s="481">
        <f>F5/F15</f>
        <v>1.4465654374548085</v>
      </c>
      <c r="G32" s="481">
        <f>G5/G15</f>
        <v>1.1182848693937901</v>
      </c>
      <c r="H32" s="481">
        <f>F32-G32</f>
        <v>0.32828056806101835</v>
      </c>
      <c r="I32" s="590">
        <f>H32/G32</f>
        <v>0.29355719373988814</v>
      </c>
      <c r="K32" s="1" t="s">
        <v>800</v>
      </c>
    </row>
    <row r="33" spans="2:11" ht="12.75">
      <c r="B33" s="480">
        <v>8</v>
      </c>
      <c r="C33" s="746" t="s">
        <v>801</v>
      </c>
      <c r="D33" s="746"/>
      <c r="E33" s="746"/>
      <c r="F33" s="481">
        <f>(F5-F6-F7)/F15</f>
        <v>0.899060014461316</v>
      </c>
      <c r="G33" s="481">
        <f>(G5-G6-G7)/G15</f>
        <v>0.7100788565795959</v>
      </c>
      <c r="H33" s="481">
        <f>F33-G33</f>
        <v>0.1889811578817201</v>
      </c>
      <c r="I33" s="590">
        <f>H33/G33</f>
        <v>0.2661410857831061</v>
      </c>
      <c r="K33" s="1" t="s">
        <v>802</v>
      </c>
    </row>
    <row r="34" spans="2:11" ht="12.75">
      <c r="B34" s="480">
        <v>9</v>
      </c>
      <c r="C34" s="746" t="s">
        <v>803</v>
      </c>
      <c r="D34" s="746"/>
      <c r="E34" s="746"/>
      <c r="F34" s="481">
        <f>(F9+F10)/F15</f>
        <v>0.07122198120028922</v>
      </c>
      <c r="G34" s="481">
        <f>(G9+G10)/G15</f>
        <v>0.10146623952686053</v>
      </c>
      <c r="H34" s="481">
        <f>F34-G34</f>
        <v>-0.030244258326571308</v>
      </c>
      <c r="I34" s="590">
        <f>H34/G34</f>
        <v>-0.29807213184997294</v>
      </c>
      <c r="K34" s="1" t="s">
        <v>804</v>
      </c>
    </row>
    <row r="35" spans="2:11" ht="12.75">
      <c r="B35" s="480">
        <v>10</v>
      </c>
      <c r="C35" s="746" t="s">
        <v>805</v>
      </c>
      <c r="D35" s="746"/>
      <c r="E35" s="746"/>
      <c r="F35" s="481">
        <f>F10/F15</f>
        <v>0.07122198120028922</v>
      </c>
      <c r="G35" s="481">
        <f>G10/G15</f>
        <v>0.10146623952686053</v>
      </c>
      <c r="H35" s="481">
        <f>F35-G35</f>
        <v>-0.030244258326571308</v>
      </c>
      <c r="I35" s="590">
        <f>H35/G35</f>
        <v>-0.29807213184997294</v>
      </c>
      <c r="K35" s="1" t="s">
        <v>806</v>
      </c>
    </row>
    <row r="36" spans="2:9" ht="12.75">
      <c r="B36" s="480"/>
      <c r="C36" s="747" t="s">
        <v>807</v>
      </c>
      <c r="D36" s="747"/>
      <c r="E36" s="747"/>
      <c r="F36" s="481"/>
      <c r="G36" s="481"/>
      <c r="H36" s="481"/>
      <c r="I36" s="317"/>
    </row>
    <row r="37" spans="2:11" ht="12.75">
      <c r="B37" s="480">
        <v>11</v>
      </c>
      <c r="C37" s="746" t="s">
        <v>808</v>
      </c>
      <c r="D37" s="746"/>
      <c r="E37" s="746"/>
      <c r="F37" s="481">
        <f>F12/F16</f>
        <v>0.23398096574711635</v>
      </c>
      <c r="G37" s="481">
        <f>G12/G16</f>
        <v>0.3413325529216662</v>
      </c>
      <c r="H37" s="481">
        <f>F37-G37</f>
        <v>-0.10735158717454985</v>
      </c>
      <c r="I37" s="590">
        <f>H37/G37</f>
        <v>-0.31450732212812527</v>
      </c>
      <c r="K37" s="1" t="s">
        <v>809</v>
      </c>
    </row>
    <row r="38" spans="2:11" ht="12.75">
      <c r="B38" s="480">
        <v>12</v>
      </c>
      <c r="C38" s="746" t="s">
        <v>810</v>
      </c>
      <c r="D38" s="746"/>
      <c r="E38" s="746"/>
      <c r="F38" s="481">
        <f>F16/F12</f>
        <v>4.273851921274602</v>
      </c>
      <c r="G38" s="481">
        <f>G16/G12</f>
        <v>2.9296941983423834</v>
      </c>
      <c r="H38" s="481">
        <f>F38-G38</f>
        <v>1.3441577229322186</v>
      </c>
      <c r="I38" s="590">
        <f>H38/G38</f>
        <v>0.4588047870978278</v>
      </c>
      <c r="K38" s="1" t="s">
        <v>811</v>
      </c>
    </row>
  </sheetData>
  <mergeCells count="40">
    <mergeCell ref="B1:I1"/>
    <mergeCell ref="B2:B3"/>
    <mergeCell ref="C2:E3"/>
    <mergeCell ref="H2:I2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0:I20"/>
    <mergeCell ref="B21:B22"/>
    <mergeCell ref="C21:E22"/>
    <mergeCell ref="H21:I21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64"/>
  <sheetViews>
    <sheetView workbookViewId="0" topLeftCell="A37">
      <selection activeCell="E43" sqref="E43"/>
    </sheetView>
  </sheetViews>
  <sheetFormatPr defaultColWidth="9.140625" defaultRowHeight="12.75"/>
  <cols>
    <col min="1" max="1" width="71.00390625" style="167" customWidth="1"/>
    <col min="2" max="2" width="1.7109375" style="168" customWidth="1"/>
    <col min="3" max="3" width="12.140625" style="169" customWidth="1"/>
    <col min="4" max="4" width="1.7109375" style="170" customWidth="1"/>
    <col min="5" max="5" width="13.140625" style="169" customWidth="1"/>
    <col min="6" max="6" width="4.28125" style="171" customWidth="1"/>
    <col min="7" max="16384" width="9.140625" style="171" customWidth="1"/>
  </cols>
  <sheetData>
    <row r="1" spans="1:6" ht="14.25">
      <c r="A1" s="628" t="str">
        <f>ОПР!A1:G1</f>
        <v>ТРАНССТРОЙ-БУРГАС АД</v>
      </c>
      <c r="B1" s="628"/>
      <c r="C1" s="628"/>
      <c r="D1" s="628"/>
      <c r="E1" s="628"/>
      <c r="F1" s="172"/>
    </row>
    <row r="2" spans="1:6" ht="14.25">
      <c r="A2" s="629" t="str">
        <f>CONCATENATE("КОНСОЛИДИРАН ОТЧЕТ ЗА ПАРИЧНИТЕ ПОТОЦИ ",НАЧАЛО!AA3,НАЧАЛО!AD1," година")</f>
        <v>КОНСОЛИДИРАН ОТЧЕТ ЗА ПАРИЧНИТЕ ПОТОЦИ към 30.9.2010 година</v>
      </c>
      <c r="B2" s="629"/>
      <c r="C2" s="629"/>
      <c r="D2" s="629"/>
      <c r="E2" s="629"/>
      <c r="F2" s="172"/>
    </row>
    <row r="3" spans="1:6" ht="15" customHeight="1">
      <c r="A3" s="173"/>
      <c r="B3" s="174"/>
      <c r="C3" s="175" t="str">
        <f>НАЧАЛО!AD1&amp;" г."</f>
        <v>30.9.2010 г.</v>
      </c>
      <c r="D3" s="175"/>
      <c r="E3" s="29" t="s">
        <v>815</v>
      </c>
      <c r="F3" s="172"/>
    </row>
    <row r="4" spans="1:6" ht="15">
      <c r="A4" s="173"/>
      <c r="B4" s="174"/>
      <c r="C4" s="176" t="s">
        <v>55</v>
      </c>
      <c r="D4" s="177"/>
      <c r="E4" s="176" t="s">
        <v>55</v>
      </c>
      <c r="F4" s="172"/>
    </row>
    <row r="5" spans="1:6" ht="15">
      <c r="A5" s="173"/>
      <c r="B5" s="174"/>
      <c r="C5" s="176"/>
      <c r="D5" s="177"/>
      <c r="E5" s="176"/>
      <c r="F5" s="172"/>
    </row>
    <row r="6" spans="1:6" ht="15">
      <c r="A6" s="178" t="s">
        <v>172</v>
      </c>
      <c r="B6" s="179"/>
      <c r="C6" s="180"/>
      <c r="D6" s="181"/>
      <c r="E6" s="180"/>
      <c r="F6" s="172"/>
    </row>
    <row r="7" spans="1:6" ht="15">
      <c r="A7" s="182" t="s">
        <v>173</v>
      </c>
      <c r="B7" s="179"/>
      <c r="C7" s="180">
        <v>3542</v>
      </c>
      <c r="D7" s="181"/>
      <c r="E7" s="180">
        <v>5229</v>
      </c>
      <c r="F7" s="172"/>
    </row>
    <row r="8" spans="1:6" ht="15">
      <c r="A8" s="182" t="s">
        <v>174</v>
      </c>
      <c r="B8" s="179"/>
      <c r="C8" s="180">
        <v>-5607</v>
      </c>
      <c r="D8" s="181"/>
      <c r="E8" s="180">
        <v>-8601</v>
      </c>
      <c r="F8" s="172"/>
    </row>
    <row r="9" spans="1:6" ht="15">
      <c r="A9" s="182" t="s">
        <v>175</v>
      </c>
      <c r="B9" s="179"/>
      <c r="C9" s="180">
        <v>-864</v>
      </c>
      <c r="D9" s="181"/>
      <c r="E9" s="180">
        <v>-1011</v>
      </c>
      <c r="F9" s="172"/>
    </row>
    <row r="10" spans="1:6" ht="15">
      <c r="A10" s="600" t="s">
        <v>176</v>
      </c>
      <c r="B10" s="183"/>
      <c r="C10" s="180">
        <v>-1</v>
      </c>
      <c r="D10" s="181"/>
      <c r="E10" s="180"/>
      <c r="F10" s="172"/>
    </row>
    <row r="11" spans="1:6" ht="15">
      <c r="A11" s="182" t="s">
        <v>177</v>
      </c>
      <c r="B11" s="183"/>
      <c r="C11" s="180">
        <v>5</v>
      </c>
      <c r="D11" s="181"/>
      <c r="E11" s="180">
        <v>-381</v>
      </c>
      <c r="F11" s="172"/>
    </row>
    <row r="12" spans="1:6" ht="15">
      <c r="A12" s="182" t="s">
        <v>178</v>
      </c>
      <c r="B12" s="183"/>
      <c r="C12" s="180">
        <v>-23</v>
      </c>
      <c r="D12" s="181"/>
      <c r="E12" s="180"/>
      <c r="F12" s="172"/>
    </row>
    <row r="13" spans="1:6" ht="15">
      <c r="A13" s="182" t="s">
        <v>179</v>
      </c>
      <c r="B13" s="183"/>
      <c r="C13" s="180"/>
      <c r="D13" s="181"/>
      <c r="E13" s="180"/>
      <c r="F13" s="172"/>
    </row>
    <row r="14" spans="1:6" ht="15">
      <c r="A14" s="182" t="s">
        <v>180</v>
      </c>
      <c r="B14" s="179"/>
      <c r="C14" s="180"/>
      <c r="D14" s="181"/>
      <c r="E14" s="180">
        <v>2</v>
      </c>
      <c r="F14" s="172"/>
    </row>
    <row r="15" spans="1:6" ht="14.25">
      <c r="A15" s="184" t="s">
        <v>181</v>
      </c>
      <c r="B15" s="183"/>
      <c r="C15" s="185">
        <f>SUM(C7:C14)</f>
        <v>-2948</v>
      </c>
      <c r="D15" s="186"/>
      <c r="E15" s="185">
        <f>SUM(E7:E14)</f>
        <v>-4762</v>
      </c>
      <c r="F15" s="172"/>
    </row>
    <row r="16" spans="1:6" ht="15">
      <c r="A16" s="182"/>
      <c r="B16" s="179"/>
      <c r="C16" s="180"/>
      <c r="D16" s="181"/>
      <c r="E16" s="180"/>
      <c r="F16" s="172"/>
    </row>
    <row r="17" spans="1:6" ht="15">
      <c r="A17" s="178" t="s">
        <v>182</v>
      </c>
      <c r="B17" s="179"/>
      <c r="C17" s="180"/>
      <c r="D17" s="181"/>
      <c r="E17" s="180"/>
      <c r="F17" s="172"/>
    </row>
    <row r="18" spans="1:6" ht="15">
      <c r="A18" s="182" t="s">
        <v>183</v>
      </c>
      <c r="B18" s="179"/>
      <c r="C18" s="180">
        <v>-5</v>
      </c>
      <c r="D18" s="181"/>
      <c r="E18" s="180">
        <v>-787</v>
      </c>
      <c r="F18" s="172"/>
    </row>
    <row r="19" spans="1:6" ht="15">
      <c r="A19" s="187" t="s">
        <v>184</v>
      </c>
      <c r="B19" s="179"/>
      <c r="C19" s="180"/>
      <c r="D19" s="186"/>
      <c r="E19" s="180"/>
      <c r="F19" s="172"/>
    </row>
    <row r="20" spans="1:6" ht="15">
      <c r="A20" s="187" t="s">
        <v>185</v>
      </c>
      <c r="B20" s="179"/>
      <c r="C20" s="180"/>
      <c r="D20" s="186"/>
      <c r="E20" s="180"/>
      <c r="F20" s="172"/>
    </row>
    <row r="21" spans="1:6" ht="15">
      <c r="A21" s="187" t="s">
        <v>186</v>
      </c>
      <c r="B21" s="179"/>
      <c r="C21" s="180"/>
      <c r="D21" s="186"/>
      <c r="E21" s="180"/>
      <c r="F21" s="172"/>
    </row>
    <row r="22" spans="1:6" ht="15">
      <c r="A22" s="182" t="s">
        <v>187</v>
      </c>
      <c r="B22" s="179"/>
      <c r="C22" s="180"/>
      <c r="D22" s="186"/>
      <c r="E22" s="180"/>
      <c r="F22" s="172"/>
    </row>
    <row r="23" spans="1:6" ht="15">
      <c r="A23" s="182" t="s">
        <v>188</v>
      </c>
      <c r="B23" s="179"/>
      <c r="C23" s="180"/>
      <c r="D23" s="186"/>
      <c r="E23" s="180"/>
      <c r="F23" s="172"/>
    </row>
    <row r="24" spans="1:6" ht="15">
      <c r="A24" s="182" t="s">
        <v>189</v>
      </c>
      <c r="B24" s="179"/>
      <c r="C24" s="180"/>
      <c r="D24" s="186"/>
      <c r="E24" s="180"/>
      <c r="F24" s="172"/>
    </row>
    <row r="25" spans="1:6" ht="15">
      <c r="A25" s="182" t="s">
        <v>190</v>
      </c>
      <c r="B25" s="179"/>
      <c r="C25" s="180"/>
      <c r="D25" s="181"/>
      <c r="E25" s="180"/>
      <c r="F25" s="172"/>
    </row>
    <row r="26" spans="1:6" ht="15">
      <c r="A26" s="184" t="s">
        <v>191</v>
      </c>
      <c r="B26" s="179"/>
      <c r="C26" s="185">
        <f>SUM(C18:C25)</f>
        <v>-5</v>
      </c>
      <c r="D26" s="186"/>
      <c r="E26" s="185">
        <f>SUM(E18:E25)</f>
        <v>-787</v>
      </c>
      <c r="F26" s="172"/>
    </row>
    <row r="27" spans="1:6" ht="15">
      <c r="A27" s="182"/>
      <c r="B27" s="179"/>
      <c r="C27" s="180"/>
      <c r="D27" s="181"/>
      <c r="E27" s="180"/>
      <c r="F27" s="172"/>
    </row>
    <row r="28" spans="1:6" ht="15">
      <c r="A28" s="178" t="s">
        <v>192</v>
      </c>
      <c r="B28" s="179"/>
      <c r="C28" s="188"/>
      <c r="D28" s="186"/>
      <c r="E28" s="188"/>
      <c r="F28" s="172"/>
    </row>
    <row r="29" spans="1:6" ht="15">
      <c r="A29" s="187" t="s">
        <v>193</v>
      </c>
      <c r="B29" s="179"/>
      <c r="C29" s="188"/>
      <c r="D29" s="186"/>
      <c r="E29" s="188"/>
      <c r="F29" s="172"/>
    </row>
    <row r="30" spans="1:6" ht="15">
      <c r="A30" s="187" t="s">
        <v>194</v>
      </c>
      <c r="B30" s="179"/>
      <c r="C30" s="188"/>
      <c r="D30" s="186"/>
      <c r="E30" s="188"/>
      <c r="F30" s="172"/>
    </row>
    <row r="31" spans="1:6" ht="15">
      <c r="A31" s="182" t="s">
        <v>195</v>
      </c>
      <c r="B31" s="179"/>
      <c r="C31" s="180">
        <v>4447</v>
      </c>
      <c r="D31" s="181"/>
      <c r="E31" s="180">
        <v>4304</v>
      </c>
      <c r="F31" s="172"/>
    </row>
    <row r="32" spans="1:6" ht="15">
      <c r="A32" s="182" t="s">
        <v>196</v>
      </c>
      <c r="B32" s="179"/>
      <c r="C32" s="180">
        <v>-450</v>
      </c>
      <c r="D32" s="179"/>
      <c r="E32" s="180">
        <v>-4174</v>
      </c>
      <c r="F32" s="172"/>
    </row>
    <row r="33" spans="1:6" ht="15">
      <c r="A33" s="182" t="s">
        <v>197</v>
      </c>
      <c r="B33" s="179"/>
      <c r="C33" s="180"/>
      <c r="D33" s="179"/>
      <c r="E33" s="180"/>
      <c r="F33" s="172"/>
    </row>
    <row r="34" spans="1:6" ht="15">
      <c r="A34" s="182" t="s">
        <v>198</v>
      </c>
      <c r="B34" s="179"/>
      <c r="C34" s="180">
        <v>-316</v>
      </c>
      <c r="D34" s="179"/>
      <c r="E34" s="180">
        <v>-206</v>
      </c>
      <c r="F34" s="172"/>
    </row>
    <row r="35" spans="1:6" ht="15">
      <c r="A35" s="182" t="s">
        <v>199</v>
      </c>
      <c r="B35" s="179"/>
      <c r="C35" s="180">
        <v>-276</v>
      </c>
      <c r="D35" s="179"/>
      <c r="E35" s="180">
        <v>-123</v>
      </c>
      <c r="F35" s="172"/>
    </row>
    <row r="36" spans="1:6" ht="15">
      <c r="A36" s="182" t="s">
        <v>200</v>
      </c>
      <c r="B36" s="179"/>
      <c r="C36" s="180">
        <v>-130</v>
      </c>
      <c r="D36" s="179"/>
      <c r="E36" s="180">
        <v>-302</v>
      </c>
      <c r="F36" s="172"/>
    </row>
    <row r="37" spans="1:6" ht="15">
      <c r="A37" s="184" t="s">
        <v>201</v>
      </c>
      <c r="B37" s="179"/>
      <c r="C37" s="185">
        <f>SUM(C29:C36)</f>
        <v>3275</v>
      </c>
      <c r="D37" s="186"/>
      <c r="E37" s="185">
        <f>SUM(E29:E36)</f>
        <v>-501</v>
      </c>
      <c r="F37" s="172"/>
    </row>
    <row r="38" spans="1:6" ht="15">
      <c r="A38" s="189"/>
      <c r="B38" s="179"/>
      <c r="C38" s="180"/>
      <c r="D38" s="179"/>
      <c r="E38" s="180"/>
      <c r="F38" s="172"/>
    </row>
    <row r="39" spans="1:6" ht="28.5">
      <c r="A39" s="190" t="s">
        <v>202</v>
      </c>
      <c r="B39" s="183"/>
      <c r="C39" s="191">
        <f>SUM(C15,C26,C37)</f>
        <v>322</v>
      </c>
      <c r="D39" s="192"/>
      <c r="E39" s="191">
        <f>SUM(E15,E26,E37)</f>
        <v>-6050</v>
      </c>
      <c r="F39" s="172"/>
    </row>
    <row r="40" spans="1:6" ht="15">
      <c r="A40" s="189"/>
      <c r="B40" s="179"/>
      <c r="C40" s="180"/>
      <c r="D40" s="179"/>
      <c r="E40" s="180"/>
      <c r="F40" s="172"/>
    </row>
    <row r="41" spans="1:6" ht="14.25">
      <c r="A41" s="190" t="s">
        <v>203</v>
      </c>
      <c r="B41" s="183"/>
      <c r="C41" s="191">
        <v>661</v>
      </c>
      <c r="D41" s="192"/>
      <c r="E41" s="191">
        <v>7695</v>
      </c>
      <c r="F41" s="172"/>
    </row>
    <row r="42" spans="1:6" ht="15">
      <c r="A42" s="189"/>
      <c r="B42" s="179"/>
      <c r="C42" s="180"/>
      <c r="D42" s="179"/>
      <c r="E42" s="180"/>
      <c r="F42" s="172"/>
    </row>
    <row r="43" spans="1:6" ht="14.25">
      <c r="A43" s="193" t="str">
        <f>CONCATENATE("Парични средства и парични еквиваленти на ",НАЧАЛО!AA1," ",CHOOSE(НАЧАЛО!AB1,НАЧАЛО!AI1,НАЧАЛО!AI2,НАЧАЛО!AI3,НАЧАЛО!AI4,НАЧАЛО!AI5,НАЧАЛО!AI6,НАЧАЛО!AI7,НАЧАЛО!AI8,НАЧАЛО!AI9,НАЧАЛО!AI10,НАЧАЛО!AI11,НАЧАЛО!AI12))</f>
        <v>Парични средства и парични еквиваленти на 30 септември</v>
      </c>
      <c r="B43" s="183"/>
      <c r="C43" s="194">
        <v>985</v>
      </c>
      <c r="D43" s="192"/>
      <c r="E43" s="194">
        <f>SUM(E39,E41)</f>
        <v>1645</v>
      </c>
      <c r="F43" s="172"/>
    </row>
    <row r="44" spans="1:6" ht="15">
      <c r="A44" s="195">
        <f>IF(AND(C$44="",E$44=""),"","Разлика в паричните средства между ОПП и БАЛАНСА!")</f>
      </c>
      <c r="B44" s="196"/>
      <c r="C44" s="197">
        <f>IF(C43=баланс!E38,"",ОПП!C43-баланс!E38)</f>
      </c>
      <c r="D44" s="198"/>
      <c r="E44" s="197">
        <f>IF(НАЧАЛО!AB$3=1,IF(E$43=баланс!G$38,"",ОПП!E$43-баланс!G$38),"")</f>
      </c>
      <c r="F44" s="172"/>
    </row>
    <row r="45" spans="1:6" ht="15">
      <c r="A45" s="630" t="str">
        <f>ОПР!A49</f>
        <v>Приложенията от страница 1 до страница 4 са неразделна част от финансовия отчет.</v>
      </c>
      <c r="B45" s="630"/>
      <c r="C45" s="630"/>
      <c r="D45" s="630"/>
      <c r="E45" s="630"/>
      <c r="F45" s="172"/>
    </row>
    <row r="46" spans="1:6" ht="15">
      <c r="A46" s="199">
        <f>IF(AND(C$44="",E$44=""),"","Парични средства в баланса БАЛАНСА:")</f>
      </c>
      <c r="B46" s="200"/>
      <c r="C46" s="201">
        <f>IF(C$43=баланс!E$38,"",баланс!E$38)</f>
      </c>
      <c r="D46" s="200"/>
      <c r="E46" s="201">
        <f>IF(НАЧАЛО!AB$3=1,IF(E$43=баланс!G$38,"",баланс!G$38),"")</f>
      </c>
      <c r="F46" s="172"/>
    </row>
    <row r="47" spans="1:6" ht="15">
      <c r="A47" s="70" t="str">
        <f>НАЧАЛО!$A$44</f>
        <v>Представляващ:</v>
      </c>
      <c r="B47" s="196"/>
      <c r="C47" s="202"/>
      <c r="D47" s="198"/>
      <c r="E47" s="202"/>
      <c r="F47" s="172"/>
    </row>
    <row r="48" spans="1:6" ht="15">
      <c r="A48" s="73" t="s">
        <v>812</v>
      </c>
      <c r="B48" s="196"/>
      <c r="C48" s="203"/>
      <c r="D48" s="196"/>
      <c r="E48" s="203"/>
      <c r="F48" s="172"/>
    </row>
    <row r="49" spans="1:6" ht="15">
      <c r="A49" s="73"/>
      <c r="B49" s="196"/>
      <c r="C49" s="203"/>
      <c r="D49" s="196"/>
      <c r="E49" s="203"/>
      <c r="F49" s="172"/>
    </row>
    <row r="50" spans="1:6" s="207" customFormat="1" ht="14.25">
      <c r="A50" s="73" t="s">
        <v>98</v>
      </c>
      <c r="B50" s="204"/>
      <c r="C50" s="205"/>
      <c r="D50" s="204"/>
      <c r="E50" s="205"/>
      <c r="F50" s="206"/>
    </row>
    <row r="51" spans="1:6" ht="15">
      <c r="A51" s="73"/>
      <c r="B51" s="196"/>
      <c r="C51" s="203"/>
      <c r="D51" s="196"/>
      <c r="E51" s="203"/>
      <c r="F51" s="172"/>
    </row>
    <row r="52" spans="1:6" ht="15">
      <c r="A52" s="75" t="str">
        <f>НАЧАЛО!$F$44</f>
        <v>Съставител:</v>
      </c>
      <c r="B52" s="196"/>
      <c r="C52" s="203"/>
      <c r="D52" s="196"/>
      <c r="E52" s="203"/>
      <c r="F52" s="172"/>
    </row>
    <row r="53" spans="1:6" ht="15">
      <c r="A53" s="78" t="s">
        <v>814</v>
      </c>
      <c r="B53" s="208"/>
      <c r="C53" s="209"/>
      <c r="D53" s="196"/>
      <c r="E53" s="209"/>
      <c r="F53" s="172"/>
    </row>
    <row r="54" spans="1:6" ht="15">
      <c r="A54" s="75"/>
      <c r="B54" s="631"/>
      <c r="C54" s="631"/>
      <c r="D54" s="631"/>
      <c r="E54" s="631"/>
      <c r="F54" s="172"/>
    </row>
    <row r="55" spans="1:6" ht="15">
      <c r="A55" s="78"/>
      <c r="B55" s="210"/>
      <c r="C55" s="210"/>
      <c r="D55" s="210"/>
      <c r="E55" s="210"/>
      <c r="F55" s="172"/>
    </row>
    <row r="56" spans="1:6" ht="15">
      <c r="A56" s="73"/>
      <c r="B56" s="208"/>
      <c r="C56" s="209"/>
      <c r="D56" s="196"/>
      <c r="E56" s="209"/>
      <c r="F56" s="172"/>
    </row>
    <row r="57" spans="1:6" ht="15" customHeight="1">
      <c r="A57" s="80"/>
      <c r="B57" s="208"/>
      <c r="C57" s="209"/>
      <c r="D57" s="196"/>
      <c r="E57" s="209"/>
      <c r="F57" s="211"/>
    </row>
    <row r="58" spans="1:6" ht="15">
      <c r="A58" s="73" t="str">
        <f>НАЧАЛО!$C$58</f>
        <v>БУРГАС, 30 ноември 2010 г.</v>
      </c>
      <c r="B58" s="208"/>
      <c r="C58" s="209"/>
      <c r="D58" s="196"/>
      <c r="E58" s="209"/>
      <c r="F58" s="211"/>
    </row>
    <row r="59" ht="15">
      <c r="A59" s="162"/>
    </row>
    <row r="60" ht="15">
      <c r="A60" s="163"/>
    </row>
    <row r="61" ht="15">
      <c r="A61" s="162"/>
    </row>
    <row r="62" ht="15">
      <c r="A62" s="164"/>
    </row>
    <row r="63" ht="15">
      <c r="A63" s="164"/>
    </row>
    <row r="64" ht="15">
      <c r="A64" s="212"/>
    </row>
  </sheetData>
  <mergeCells count="4">
    <mergeCell ref="A1:E1"/>
    <mergeCell ref="A2:E2"/>
    <mergeCell ref="A45:E45"/>
    <mergeCell ref="B54:E54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V75"/>
  <sheetViews>
    <sheetView view="pageBreakPreview" zoomScaleSheetLayoutView="100" workbookViewId="0" topLeftCell="A37">
      <selection activeCell="A17" sqref="A17"/>
    </sheetView>
  </sheetViews>
  <sheetFormatPr defaultColWidth="9.140625" defaultRowHeight="12.75"/>
  <cols>
    <col min="1" max="1" width="41.00390625" style="213" customWidth="1"/>
    <col min="2" max="2" width="10.421875" style="213" hidden="1" customWidth="1"/>
    <col min="3" max="3" width="9.57421875" style="214" customWidth="1"/>
    <col min="4" max="4" width="10.7109375" style="214" hidden="1" customWidth="1"/>
    <col min="5" max="5" width="9.7109375" style="214" customWidth="1"/>
    <col min="6" max="6" width="0.2890625" style="214" hidden="1" customWidth="1"/>
    <col min="7" max="7" width="9.57421875" style="214" customWidth="1"/>
    <col min="8" max="8" width="1.421875" style="214" hidden="1" customWidth="1"/>
    <col min="9" max="9" width="9.7109375" style="214" customWidth="1"/>
    <col min="10" max="10" width="7.140625" style="214" hidden="1" customWidth="1"/>
    <col min="11" max="11" width="8.57421875" style="214" customWidth="1"/>
    <col min="12" max="12" width="0.13671875" style="214" hidden="1" customWidth="1"/>
    <col min="13" max="13" width="8.7109375" style="214" customWidth="1"/>
    <col min="14" max="14" width="0.2890625" style="214" hidden="1" customWidth="1"/>
    <col min="15" max="15" width="9.140625" style="214" customWidth="1"/>
    <col min="16" max="16" width="9.28125" style="214" customWidth="1"/>
    <col min="17" max="16384" width="9.140625" style="214" customWidth="1"/>
  </cols>
  <sheetData>
    <row r="1" spans="1:16" ht="18" customHeight="1">
      <c r="A1" s="632" t="str">
        <f>ОПР!A1:G1</f>
        <v>ТРАНССТРОЙ-БУРГАС АД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</row>
    <row r="2" spans="1:16" ht="18" customHeight="1">
      <c r="A2" s="632" t="str">
        <f>CONCATENATE("КОНСОЛИДИРАН ОТЧЕТ ЗА СОБСТВЕНИЯ КАПИТАЛ към ",НАЧАЛО!AA1,".",НАЧАЛО!AB1,".",НАЧАЛО!AC1," г.")</f>
        <v>КОНСОЛИДИРАН ОТЧЕТ ЗА СОБСТВЕНИЯ КАПИТАЛ към 30.9.2010 г.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</row>
    <row r="3" spans="1:16" ht="16.5" customHeight="1">
      <c r="A3" s="635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215"/>
    </row>
    <row r="4" spans="1:18" ht="48" customHeight="1">
      <c r="A4" s="636"/>
      <c r="B4" s="216"/>
      <c r="C4" s="633" t="s">
        <v>133</v>
      </c>
      <c r="D4" s="216"/>
      <c r="E4" s="633" t="s">
        <v>138</v>
      </c>
      <c r="F4" s="217"/>
      <c r="G4" s="633" t="s">
        <v>204</v>
      </c>
      <c r="H4" s="217"/>
      <c r="I4" s="633" t="s">
        <v>205</v>
      </c>
      <c r="J4" s="217"/>
      <c r="K4" s="633" t="s">
        <v>206</v>
      </c>
      <c r="L4" s="217"/>
      <c r="M4" s="633" t="s">
        <v>207</v>
      </c>
      <c r="N4" s="217"/>
      <c r="O4" s="633" t="s">
        <v>208</v>
      </c>
      <c r="P4" s="637" t="s">
        <v>145</v>
      </c>
      <c r="Q4" s="171"/>
      <c r="R4" s="171"/>
    </row>
    <row r="5" spans="1:18" s="220" customFormat="1" ht="18" customHeight="1">
      <c r="A5" s="636"/>
      <c r="B5" s="218"/>
      <c r="C5" s="633"/>
      <c r="D5" s="218"/>
      <c r="E5" s="633"/>
      <c r="F5" s="219"/>
      <c r="G5" s="633"/>
      <c r="H5" s="219"/>
      <c r="I5" s="633"/>
      <c r="J5" s="219"/>
      <c r="K5" s="633"/>
      <c r="L5" s="219"/>
      <c r="M5" s="633"/>
      <c r="N5" s="219"/>
      <c r="O5" s="633"/>
      <c r="P5" s="637"/>
      <c r="Q5" s="171"/>
      <c r="R5" s="171"/>
    </row>
    <row r="6" spans="1:18" s="220" customFormat="1" ht="15">
      <c r="A6" s="221"/>
      <c r="B6" s="218"/>
      <c r="C6" s="222" t="s">
        <v>55</v>
      </c>
      <c r="D6" s="218"/>
      <c r="E6" s="222" t="s">
        <v>55</v>
      </c>
      <c r="F6" s="223"/>
      <c r="G6" s="222" t="s">
        <v>55</v>
      </c>
      <c r="H6" s="223"/>
      <c r="I6" s="222" t="s">
        <v>55</v>
      </c>
      <c r="J6" s="223"/>
      <c r="K6" s="222" t="s">
        <v>55</v>
      </c>
      <c r="L6" s="223"/>
      <c r="M6" s="222" t="s">
        <v>55</v>
      </c>
      <c r="N6" s="223"/>
      <c r="O6" s="222" t="s">
        <v>55</v>
      </c>
      <c r="P6" s="222" t="s">
        <v>55</v>
      </c>
      <c r="Q6" s="171"/>
      <c r="R6" s="171"/>
    </row>
    <row r="7" spans="1:18" s="230" customFormat="1" ht="15">
      <c r="A7" s="224"/>
      <c r="B7" s="224"/>
      <c r="C7" s="225"/>
      <c r="D7" s="224"/>
      <c r="E7" s="226"/>
      <c r="F7" s="227"/>
      <c r="G7" s="226"/>
      <c r="H7" s="227"/>
      <c r="I7" s="226"/>
      <c r="J7" s="227"/>
      <c r="K7" s="226"/>
      <c r="L7" s="227"/>
      <c r="M7" s="228">
        <v>0</v>
      </c>
      <c r="N7" s="227"/>
      <c r="O7" s="229"/>
      <c r="P7" s="227"/>
      <c r="Q7" s="171"/>
      <c r="R7" s="171"/>
    </row>
    <row r="8" spans="1:18" s="235" customFormat="1" ht="15" thickBot="1">
      <c r="A8" s="231" t="str">
        <f>CONCATENATE("Остатък към ",31,".",12,".",НАЧАЛО!AC1-2," г.")</f>
        <v>Остатък към 31.12.2008 г.</v>
      </c>
      <c r="B8" s="224"/>
      <c r="C8" s="232">
        <v>88</v>
      </c>
      <c r="D8" s="224"/>
      <c r="E8" s="232"/>
      <c r="F8" s="233"/>
      <c r="G8" s="232">
        <v>3698</v>
      </c>
      <c r="H8" s="233"/>
      <c r="I8" s="232">
        <v>9</v>
      </c>
      <c r="J8" s="233"/>
      <c r="K8" s="232">
        <v>807</v>
      </c>
      <c r="L8" s="233"/>
      <c r="M8" s="232">
        <v>845</v>
      </c>
      <c r="N8" s="234"/>
      <c r="O8" s="234">
        <f>SUM(C8:M8)</f>
        <v>5447</v>
      </c>
      <c r="P8" s="232">
        <v>195</v>
      </c>
      <c r="Q8" s="171"/>
      <c r="R8" s="171"/>
    </row>
    <row r="9" spans="1:18" s="235" customFormat="1" ht="7.5" customHeight="1">
      <c r="A9" s="236"/>
      <c r="B9" s="224"/>
      <c r="C9" s="237"/>
      <c r="D9" s="224"/>
      <c r="E9" s="237"/>
      <c r="F9" s="233"/>
      <c r="G9" s="237"/>
      <c r="H9" s="233"/>
      <c r="I9" s="237"/>
      <c r="J9" s="233"/>
      <c r="K9" s="237"/>
      <c r="L9" s="233"/>
      <c r="M9" s="237"/>
      <c r="N9" s="233"/>
      <c r="O9" s="229"/>
      <c r="P9" s="227"/>
      <c r="Q9" s="171"/>
      <c r="R9" s="171"/>
    </row>
    <row r="10" spans="1:18" s="235" customFormat="1" ht="25.5">
      <c r="A10" s="238" t="s">
        <v>209</v>
      </c>
      <c r="B10" s="239"/>
      <c r="C10" s="240"/>
      <c r="D10" s="239"/>
      <c r="E10" s="240"/>
      <c r="F10" s="233"/>
      <c r="G10" s="240"/>
      <c r="H10" s="233"/>
      <c r="I10" s="240"/>
      <c r="J10" s="233"/>
      <c r="K10" s="240"/>
      <c r="L10" s="233"/>
      <c r="M10" s="240"/>
      <c r="N10" s="233"/>
      <c r="O10" s="229"/>
      <c r="P10" s="598"/>
      <c r="Q10" s="171"/>
      <c r="R10" s="171"/>
    </row>
    <row r="11" spans="1:18" s="235" customFormat="1" ht="7.5" customHeight="1">
      <c r="A11" s="239"/>
      <c r="B11" s="239"/>
      <c r="C11" s="240"/>
      <c r="D11" s="239"/>
      <c r="E11" s="240"/>
      <c r="F11" s="233"/>
      <c r="G11" s="240"/>
      <c r="H11" s="233"/>
      <c r="I11" s="240"/>
      <c r="J11" s="233"/>
      <c r="K11" s="240"/>
      <c r="L11" s="233"/>
      <c r="M11" s="240"/>
      <c r="N11" s="233"/>
      <c r="O11" s="229"/>
      <c r="P11" s="227"/>
      <c r="Q11" s="171"/>
      <c r="R11" s="171"/>
    </row>
    <row r="12" spans="1:18" s="235" customFormat="1" ht="15" thickBot="1">
      <c r="A12" s="231" t="str">
        <f>CONCATENATE("Преизчислен остатък към ",31,".",12,".",НАЧАЛО!AC1-2," г.")</f>
        <v>Преизчислен остатък към 31.12.2008 г.</v>
      </c>
      <c r="B12" s="224"/>
      <c r="C12" s="232">
        <f>C8+C10</f>
        <v>88</v>
      </c>
      <c r="D12" s="224"/>
      <c r="E12" s="232"/>
      <c r="F12" s="233"/>
      <c r="G12" s="232">
        <v>3698</v>
      </c>
      <c r="H12" s="233"/>
      <c r="I12" s="232">
        <v>9</v>
      </c>
      <c r="J12" s="233"/>
      <c r="K12" s="232">
        <f>K8+K10</f>
        <v>807</v>
      </c>
      <c r="L12" s="233"/>
      <c r="M12" s="232">
        <v>845</v>
      </c>
      <c r="N12" s="233"/>
      <c r="O12" s="234">
        <f>SUM(C12:M12)</f>
        <v>5447</v>
      </c>
      <c r="P12" s="234">
        <v>195</v>
      </c>
      <c r="Q12" s="171"/>
      <c r="R12" s="171"/>
    </row>
    <row r="13" spans="1:18" s="235" customFormat="1" ht="9" customHeight="1">
      <c r="A13" s="224"/>
      <c r="B13" s="224"/>
      <c r="C13" s="240"/>
      <c r="D13" s="224"/>
      <c r="E13" s="240"/>
      <c r="F13" s="233"/>
      <c r="G13" s="240"/>
      <c r="H13" s="233"/>
      <c r="I13" s="240"/>
      <c r="J13" s="233"/>
      <c r="K13" s="240"/>
      <c r="L13" s="233"/>
      <c r="M13" s="240"/>
      <c r="N13" s="233"/>
      <c r="O13" s="229"/>
      <c r="P13" s="227"/>
      <c r="Q13" s="171"/>
      <c r="R13" s="171"/>
    </row>
    <row r="14" spans="1:18" s="235" customFormat="1" ht="15" thickBot="1">
      <c r="A14" s="241" t="str">
        <f>CONCATENATE("Промени в собствения капитал за ",YEAR(НАЧАЛО!AA2)-1," г.")</f>
        <v>Промени в собствения капитал за 2009 г.</v>
      </c>
      <c r="B14" s="224"/>
      <c r="C14" s="232">
        <f>C23+C24+C25+C26</f>
        <v>0</v>
      </c>
      <c r="D14" s="224"/>
      <c r="E14" s="232">
        <f>SUM(E22:E26)</f>
        <v>0</v>
      </c>
      <c r="F14" s="233"/>
      <c r="G14" s="232"/>
      <c r="H14" s="233">
        <f>SUM(H16:H17)</f>
        <v>0</v>
      </c>
      <c r="I14" s="232">
        <f>SUM(I22:I26)</f>
        <v>0</v>
      </c>
      <c r="J14" s="233"/>
      <c r="K14" s="232">
        <f>SUM(K22:K26)</f>
        <v>0</v>
      </c>
      <c r="L14" s="233"/>
      <c r="M14" s="234"/>
      <c r="N14" s="233"/>
      <c r="O14" s="234"/>
      <c r="P14" s="234"/>
      <c r="Q14" s="171"/>
      <c r="R14" s="171"/>
    </row>
    <row r="15" spans="1:18" s="235" customFormat="1" ht="7.5" customHeight="1">
      <c r="A15" s="236"/>
      <c r="B15" s="224"/>
      <c r="C15" s="233"/>
      <c r="D15" s="224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42"/>
      <c r="P15" s="227"/>
      <c r="Q15" s="171"/>
      <c r="R15" s="171"/>
    </row>
    <row r="16" spans="1:18" s="235" customFormat="1" ht="34.5" customHeight="1">
      <c r="A16" s="243" t="s">
        <v>210</v>
      </c>
      <c r="B16" s="244"/>
      <c r="C16" s="245"/>
      <c r="D16" s="244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2"/>
      <c r="P16" s="227"/>
      <c r="Q16" s="171"/>
      <c r="R16" s="171"/>
    </row>
    <row r="17" spans="1:22" s="235" customFormat="1" ht="15">
      <c r="A17" s="246" t="s">
        <v>211</v>
      </c>
      <c r="B17" s="247"/>
      <c r="C17" s="248">
        <f aca="true" t="shared" si="0" ref="C17:J17">SUM(C18:C18)</f>
        <v>0</v>
      </c>
      <c r="D17" s="247"/>
      <c r="E17" s="248">
        <f t="shared" si="0"/>
        <v>0</v>
      </c>
      <c r="F17" s="248">
        <f t="shared" si="0"/>
        <v>0</v>
      </c>
      <c r="G17" s="248">
        <f t="shared" si="0"/>
        <v>0</v>
      </c>
      <c r="H17" s="248">
        <f t="shared" si="0"/>
        <v>0</v>
      </c>
      <c r="I17" s="248"/>
      <c r="J17" s="248">
        <f t="shared" si="0"/>
        <v>0</v>
      </c>
      <c r="K17" s="248"/>
      <c r="L17" s="248"/>
      <c r="M17" s="248">
        <v>0</v>
      </c>
      <c r="N17" s="248"/>
      <c r="O17" s="242">
        <f aca="true" t="shared" si="1" ref="O17:O22">SUM(C17:M17)</f>
        <v>0</v>
      </c>
      <c r="P17" s="227"/>
      <c r="Q17" s="171"/>
      <c r="R17" s="171"/>
      <c r="S17" s="249"/>
      <c r="T17" s="249"/>
      <c r="U17" s="249"/>
      <c r="V17" s="249"/>
    </row>
    <row r="18" spans="1:22" s="235" customFormat="1" ht="30.75" customHeight="1">
      <c r="A18" s="246" t="s">
        <v>212</v>
      </c>
      <c r="B18" s="247"/>
      <c r="C18" s="248"/>
      <c r="D18" s="247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2">
        <f t="shared" si="1"/>
        <v>0</v>
      </c>
      <c r="P18" s="227"/>
      <c r="Q18" s="171"/>
      <c r="R18" s="171"/>
      <c r="S18" s="249"/>
      <c r="T18" s="249"/>
      <c r="U18" s="249"/>
      <c r="V18" s="249"/>
    </row>
    <row r="19" spans="1:22" s="230" customFormat="1" ht="25.5">
      <c r="A19" s="246" t="s">
        <v>213</v>
      </c>
      <c r="B19" s="247"/>
      <c r="C19" s="248">
        <v>0</v>
      </c>
      <c r="D19" s="247"/>
      <c r="E19" s="248">
        <v>0</v>
      </c>
      <c r="F19" s="248"/>
      <c r="G19" s="248">
        <v>0</v>
      </c>
      <c r="H19" s="248"/>
      <c r="I19" s="248">
        <v>0</v>
      </c>
      <c r="J19" s="248"/>
      <c r="K19" s="248">
        <v>0</v>
      </c>
      <c r="L19" s="248"/>
      <c r="M19" s="248"/>
      <c r="N19" s="248"/>
      <c r="O19" s="242">
        <f t="shared" si="1"/>
        <v>0</v>
      </c>
      <c r="P19" s="227"/>
      <c r="Q19" s="171"/>
      <c r="R19" s="171"/>
      <c r="S19" s="250"/>
      <c r="T19" s="250"/>
      <c r="U19" s="250"/>
      <c r="V19" s="250"/>
    </row>
    <row r="20" spans="1:22" s="230" customFormat="1" ht="25.5">
      <c r="A20" s="246" t="s">
        <v>214</v>
      </c>
      <c r="B20" s="247"/>
      <c r="C20" s="248"/>
      <c r="D20" s="247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2">
        <f t="shared" si="1"/>
        <v>0</v>
      </c>
      <c r="P20" s="227"/>
      <c r="Q20" s="171"/>
      <c r="R20" s="171"/>
      <c r="S20" s="250"/>
      <c r="T20" s="250"/>
      <c r="U20" s="250"/>
      <c r="V20" s="250"/>
    </row>
    <row r="21" spans="1:22" s="230" customFormat="1" ht="16.5" customHeight="1">
      <c r="A21" s="246" t="s">
        <v>215</v>
      </c>
      <c r="B21" s="247"/>
      <c r="C21" s="248"/>
      <c r="D21" s="247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2">
        <f t="shared" si="1"/>
        <v>0</v>
      </c>
      <c r="P21" s="227"/>
      <c r="Q21" s="171"/>
      <c r="R21" s="171"/>
      <c r="S21" s="250"/>
      <c r="T21" s="250"/>
      <c r="U21" s="250"/>
      <c r="V21" s="250"/>
    </row>
    <row r="22" spans="1:22" s="257" customFormat="1" ht="27">
      <c r="A22" s="251" t="s">
        <v>216</v>
      </c>
      <c r="B22" s="244"/>
      <c r="C22" s="252">
        <f>SUM(C17:C21)</f>
        <v>0</v>
      </c>
      <c r="D22" s="244"/>
      <c r="E22" s="252">
        <f>SUM(E17:E21)</f>
        <v>0</v>
      </c>
      <c r="F22" s="253"/>
      <c r="G22" s="252">
        <f>SUM(G17:G21)</f>
        <v>0</v>
      </c>
      <c r="H22" s="253"/>
      <c r="I22" s="252">
        <f>SUM(I17:I21)</f>
        <v>0</v>
      </c>
      <c r="J22" s="253"/>
      <c r="K22" s="252">
        <f>SUM(K17:K21)</f>
        <v>0</v>
      </c>
      <c r="L22" s="253"/>
      <c r="M22" s="252">
        <f>SUM(M17:M21)</f>
        <v>0</v>
      </c>
      <c r="N22" s="253"/>
      <c r="O22" s="252">
        <f t="shared" si="1"/>
        <v>0</v>
      </c>
      <c r="P22" s="254"/>
      <c r="Q22" s="255"/>
      <c r="R22" s="255"/>
      <c r="S22" s="256"/>
      <c r="T22" s="256"/>
      <c r="U22" s="256"/>
      <c r="V22" s="256"/>
    </row>
    <row r="23" spans="1:22" s="257" customFormat="1" ht="15">
      <c r="A23" s="258" t="s">
        <v>217</v>
      </c>
      <c r="B23" s="244"/>
      <c r="C23" s="252"/>
      <c r="D23" s="244"/>
      <c r="E23" s="252"/>
      <c r="F23" s="253"/>
      <c r="G23" s="252"/>
      <c r="H23" s="253"/>
      <c r="I23" s="252"/>
      <c r="J23" s="253"/>
      <c r="K23" s="252"/>
      <c r="L23" s="253"/>
      <c r="M23" s="252"/>
      <c r="N23" s="253"/>
      <c r="O23" s="252">
        <f>SUM(C23:M23)</f>
        <v>0</v>
      </c>
      <c r="P23" s="595"/>
      <c r="Q23" s="255"/>
      <c r="R23" s="255"/>
      <c r="S23" s="256"/>
      <c r="T23" s="256"/>
      <c r="U23" s="256"/>
      <c r="V23" s="256"/>
    </row>
    <row r="24" spans="1:22" s="230" customFormat="1" ht="15">
      <c r="A24" s="258" t="s">
        <v>218</v>
      </c>
      <c r="B24" s="244"/>
      <c r="C24" s="252"/>
      <c r="D24" s="244"/>
      <c r="E24" s="252"/>
      <c r="F24" s="253"/>
      <c r="G24" s="252"/>
      <c r="H24" s="253"/>
      <c r="I24" s="252"/>
      <c r="J24" s="253"/>
      <c r="K24" s="252"/>
      <c r="L24" s="253"/>
      <c r="M24" s="252"/>
      <c r="N24" s="253"/>
      <c r="O24" s="252">
        <f>SUM(C24:M24)</f>
        <v>0</v>
      </c>
      <c r="P24" s="598"/>
      <c r="Q24" s="171"/>
      <c r="R24" s="171"/>
      <c r="S24" s="250"/>
      <c r="T24" s="250"/>
      <c r="U24" s="250"/>
      <c r="V24" s="250"/>
    </row>
    <row r="25" spans="1:22" s="230" customFormat="1" ht="15">
      <c r="A25" s="258" t="s">
        <v>219</v>
      </c>
      <c r="B25" s="244"/>
      <c r="C25" s="252"/>
      <c r="D25" s="244"/>
      <c r="E25" s="252"/>
      <c r="F25" s="253"/>
      <c r="G25" s="252"/>
      <c r="H25" s="253"/>
      <c r="I25" s="252"/>
      <c r="J25" s="253"/>
      <c r="K25" s="252"/>
      <c r="L25" s="253"/>
      <c r="M25" s="252"/>
      <c r="N25" s="253"/>
      <c r="O25" s="252">
        <f>SUM(C25:M25)</f>
        <v>0</v>
      </c>
      <c r="P25" s="227"/>
      <c r="Q25" s="171"/>
      <c r="R25" s="171"/>
      <c r="S25" s="250"/>
      <c r="T25" s="250"/>
      <c r="U25" s="250"/>
      <c r="V25" s="250"/>
    </row>
    <row r="26" spans="1:22" s="230" customFormat="1" ht="15">
      <c r="A26" s="258" t="s">
        <v>220</v>
      </c>
      <c r="B26" s="244"/>
      <c r="C26" s="252"/>
      <c r="D26" s="244"/>
      <c r="E26" s="252"/>
      <c r="F26" s="253"/>
      <c r="G26" s="252"/>
      <c r="H26" s="253"/>
      <c r="I26" s="252"/>
      <c r="J26" s="253"/>
      <c r="K26" s="252"/>
      <c r="L26" s="253"/>
      <c r="M26" s="252"/>
      <c r="N26" s="253"/>
      <c r="O26" s="252"/>
      <c r="P26" s="598"/>
      <c r="Q26" s="171"/>
      <c r="R26" s="171"/>
      <c r="S26" s="250"/>
      <c r="T26" s="250"/>
      <c r="U26" s="250"/>
      <c r="V26" s="250"/>
    </row>
    <row r="27" spans="1:22" s="230" customFormat="1" ht="6.75" customHeight="1">
      <c r="A27" s="244"/>
      <c r="B27" s="244"/>
      <c r="C27" s="248"/>
      <c r="D27" s="244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2"/>
      <c r="P27" s="227"/>
      <c r="Q27" s="18"/>
      <c r="R27" s="18"/>
      <c r="S27" s="250"/>
      <c r="T27" s="250"/>
      <c r="U27" s="250"/>
      <c r="V27" s="250"/>
    </row>
    <row r="28" spans="1:22" s="235" customFormat="1" ht="15" thickBot="1">
      <c r="A28" s="231" t="str">
        <f>CONCATENATE("Остатък към ",31,".",12,".",НАЧАЛО!AC1-1," г.")</f>
        <v>Остатък към 31.12.2009 г.</v>
      </c>
      <c r="B28" s="224"/>
      <c r="C28" s="232">
        <f>C12+C14</f>
        <v>88</v>
      </c>
      <c r="D28" s="224"/>
      <c r="E28" s="232">
        <f>E12+E14</f>
        <v>0</v>
      </c>
      <c r="F28" s="233"/>
      <c r="G28" s="232">
        <f>G12+G14</f>
        <v>3698</v>
      </c>
      <c r="H28" s="233"/>
      <c r="I28" s="232">
        <f>I12+I14</f>
        <v>9</v>
      </c>
      <c r="J28" s="233"/>
      <c r="K28" s="232">
        <f>K12+K14</f>
        <v>807</v>
      </c>
      <c r="L28" s="233"/>
      <c r="M28" s="232">
        <f>M12+M14</f>
        <v>845</v>
      </c>
      <c r="N28" s="233"/>
      <c r="O28" s="232">
        <f>O12+O14</f>
        <v>5447</v>
      </c>
      <c r="P28" s="232">
        <f>P12+P14</f>
        <v>195</v>
      </c>
      <c r="Q28" s="171"/>
      <c r="R28" s="171"/>
      <c r="S28" s="249"/>
      <c r="T28" s="249"/>
      <c r="U28" s="249"/>
      <c r="V28" s="249"/>
    </row>
    <row r="29" spans="1:22" s="235" customFormat="1" ht="15.75" customHeight="1">
      <c r="A29" s="259"/>
      <c r="B29" s="224"/>
      <c r="C29" s="260"/>
      <c r="D29" s="224"/>
      <c r="E29" s="260"/>
      <c r="F29" s="233"/>
      <c r="G29" s="260"/>
      <c r="H29" s="233"/>
      <c r="I29" s="260"/>
      <c r="J29" s="233"/>
      <c r="K29" s="260"/>
      <c r="L29" s="233"/>
      <c r="M29" s="260"/>
      <c r="N29" s="233"/>
      <c r="O29" s="601"/>
      <c r="P29" s="261"/>
      <c r="Q29" s="171"/>
      <c r="R29" s="171"/>
      <c r="S29" s="249"/>
      <c r="T29" s="249"/>
      <c r="U29" s="249"/>
      <c r="V29" s="249"/>
    </row>
    <row r="30" spans="1:22" s="235" customFormat="1" ht="9" customHeight="1">
      <c r="A30" s="236"/>
      <c r="B30" s="224"/>
      <c r="C30" s="233"/>
      <c r="D30" s="224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42"/>
      <c r="P30" s="211">
        <v>0</v>
      </c>
      <c r="Q30" s="171"/>
      <c r="R30" s="171"/>
      <c r="S30" s="249"/>
      <c r="T30" s="249"/>
      <c r="U30" s="249"/>
      <c r="V30" s="249"/>
    </row>
    <row r="31" spans="1:22" s="235" customFormat="1" ht="27">
      <c r="A31" s="243" t="s">
        <v>210</v>
      </c>
      <c r="B31" s="244"/>
      <c r="C31" s="245"/>
      <c r="D31" s="244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2"/>
      <c r="P31" s="172"/>
      <c r="Q31" s="171"/>
      <c r="R31" s="171"/>
      <c r="S31" s="249"/>
      <c r="T31" s="249"/>
      <c r="U31" s="249"/>
      <c r="V31" s="249"/>
    </row>
    <row r="32" spans="1:22" s="235" customFormat="1" ht="15">
      <c r="A32" s="246" t="s">
        <v>211</v>
      </c>
      <c r="B32" s="247"/>
      <c r="C32" s="248">
        <f aca="true" t="shared" si="2" ref="C32:K32">SUM(C33:C33)</f>
        <v>0</v>
      </c>
      <c r="D32" s="247"/>
      <c r="E32" s="248">
        <f t="shared" si="2"/>
        <v>0</v>
      </c>
      <c r="F32" s="248">
        <f t="shared" si="2"/>
        <v>0</v>
      </c>
      <c r="G32" s="248">
        <f t="shared" si="2"/>
        <v>0</v>
      </c>
      <c r="H32" s="248">
        <f t="shared" si="2"/>
        <v>0</v>
      </c>
      <c r="I32" s="248">
        <f t="shared" si="2"/>
        <v>0</v>
      </c>
      <c r="J32" s="248">
        <f t="shared" si="2"/>
        <v>0</v>
      </c>
      <c r="K32" s="248">
        <f t="shared" si="2"/>
        <v>0</v>
      </c>
      <c r="L32" s="248"/>
      <c r="M32" s="248">
        <v>0</v>
      </c>
      <c r="N32" s="248"/>
      <c r="O32" s="242">
        <f aca="true" t="shared" si="3" ref="O32:O37">SUM(C32:M32)</f>
        <v>0</v>
      </c>
      <c r="P32" s="172"/>
      <c r="Q32" s="171"/>
      <c r="R32" s="171"/>
      <c r="S32" s="249"/>
      <c r="T32" s="249"/>
      <c r="U32" s="249"/>
      <c r="V32" s="249"/>
    </row>
    <row r="33" spans="1:22" s="235" customFormat="1" ht="25.5">
      <c r="A33" s="246" t="s">
        <v>212</v>
      </c>
      <c r="B33" s="247"/>
      <c r="C33" s="248"/>
      <c r="D33" s="247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2">
        <f t="shared" si="3"/>
        <v>0</v>
      </c>
      <c r="P33" s="172"/>
      <c r="Q33" s="171"/>
      <c r="R33" s="171"/>
      <c r="S33" s="249"/>
      <c r="T33" s="249"/>
      <c r="U33" s="249"/>
      <c r="V33" s="249"/>
    </row>
    <row r="34" spans="1:22" s="235" customFormat="1" ht="25.5">
      <c r="A34" s="246" t="s">
        <v>213</v>
      </c>
      <c r="B34" s="247"/>
      <c r="C34" s="248">
        <v>0</v>
      </c>
      <c r="D34" s="247"/>
      <c r="E34" s="248">
        <v>0</v>
      </c>
      <c r="F34" s="248"/>
      <c r="G34" s="248">
        <v>0</v>
      </c>
      <c r="H34" s="248"/>
      <c r="I34" s="248">
        <v>0</v>
      </c>
      <c r="J34" s="248"/>
      <c r="K34" s="248">
        <v>0</v>
      </c>
      <c r="L34" s="248"/>
      <c r="M34" s="248"/>
      <c r="N34" s="248"/>
      <c r="O34" s="242">
        <f t="shared" si="3"/>
        <v>0</v>
      </c>
      <c r="P34" s="172"/>
      <c r="Q34" s="171"/>
      <c r="R34" s="171"/>
      <c r="S34" s="249"/>
      <c r="T34" s="249"/>
      <c r="U34" s="249"/>
      <c r="V34" s="249"/>
    </row>
    <row r="35" spans="1:22" s="235" customFormat="1" ht="25.5">
      <c r="A35" s="246" t="s">
        <v>214</v>
      </c>
      <c r="B35" s="247"/>
      <c r="C35" s="248"/>
      <c r="D35" s="247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2">
        <f t="shared" si="3"/>
        <v>0</v>
      </c>
      <c r="P35" s="172"/>
      <c r="Q35" s="171"/>
      <c r="R35" s="171"/>
      <c r="S35" s="249"/>
      <c r="T35" s="249"/>
      <c r="U35" s="249"/>
      <c r="V35" s="249"/>
    </row>
    <row r="36" spans="1:22" s="235" customFormat="1" ht="25.5" customHeight="1">
      <c r="A36" s="246" t="s">
        <v>215</v>
      </c>
      <c r="B36" s="247"/>
      <c r="C36" s="248"/>
      <c r="D36" s="247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2"/>
      <c r="P36" s="172"/>
      <c r="Q36" s="171"/>
      <c r="R36" s="171"/>
      <c r="S36" s="249"/>
      <c r="T36" s="249"/>
      <c r="U36" s="249"/>
      <c r="V36" s="249"/>
    </row>
    <row r="37" spans="1:22" s="235" customFormat="1" ht="27">
      <c r="A37" s="251" t="s">
        <v>216</v>
      </c>
      <c r="B37" s="244"/>
      <c r="C37" s="252">
        <f>SUM(C32:C36)</f>
        <v>0</v>
      </c>
      <c r="D37" s="244"/>
      <c r="E37" s="252">
        <f>SUM(E32:E36)</f>
        <v>0</v>
      </c>
      <c r="F37" s="253"/>
      <c r="G37" s="252">
        <f>SUM(G32:G36)</f>
        <v>0</v>
      </c>
      <c r="H37" s="253"/>
      <c r="I37" s="252">
        <f>SUM(I32:I36)</f>
        <v>0</v>
      </c>
      <c r="J37" s="253"/>
      <c r="K37" s="252"/>
      <c r="L37" s="253"/>
      <c r="M37" s="252">
        <f>M36</f>
        <v>0</v>
      </c>
      <c r="N37" s="253"/>
      <c r="O37" s="252">
        <f t="shared" si="3"/>
        <v>0</v>
      </c>
      <c r="P37" s="172"/>
      <c r="Q37" s="171"/>
      <c r="R37" s="171"/>
      <c r="S37" s="249"/>
      <c r="T37" s="249"/>
      <c r="U37" s="249"/>
      <c r="V37" s="249"/>
    </row>
    <row r="38" spans="1:22" s="235" customFormat="1" ht="15">
      <c r="A38" s="258" t="s">
        <v>217</v>
      </c>
      <c r="B38" s="244"/>
      <c r="C38" s="252"/>
      <c r="D38" s="244"/>
      <c r="E38" s="252"/>
      <c r="F38" s="253"/>
      <c r="G38" s="252"/>
      <c r="H38" s="253"/>
      <c r="I38" s="252"/>
      <c r="J38" s="253"/>
      <c r="K38" s="252"/>
      <c r="L38" s="253"/>
      <c r="M38" s="252">
        <v>-112</v>
      </c>
      <c r="N38" s="252">
        <f>L38</f>
        <v>0</v>
      </c>
      <c r="O38" s="252">
        <f>SUM(M38:N38)</f>
        <v>-112</v>
      </c>
      <c r="P38" s="595">
        <v>-38</v>
      </c>
      <c r="Q38" s="171"/>
      <c r="R38" s="171" t="s">
        <v>221</v>
      </c>
      <c r="S38" s="249"/>
      <c r="T38" s="249"/>
      <c r="U38" s="249"/>
      <c r="V38" s="249"/>
    </row>
    <row r="39" spans="1:22" s="235" customFormat="1" ht="15">
      <c r="A39" s="258" t="s">
        <v>218</v>
      </c>
      <c r="B39" s="244"/>
      <c r="C39" s="252"/>
      <c r="D39" s="244"/>
      <c r="E39" s="252"/>
      <c r="F39" s="253"/>
      <c r="G39" s="252"/>
      <c r="H39" s="253"/>
      <c r="I39" s="252"/>
      <c r="J39" s="253"/>
      <c r="K39" s="252"/>
      <c r="L39" s="253"/>
      <c r="M39" s="252"/>
      <c r="N39" s="253"/>
      <c r="O39" s="252">
        <f>SUM(C39:M39)</f>
        <v>0</v>
      </c>
      <c r="P39" s="596"/>
      <c r="Q39" s="171"/>
      <c r="R39" s="171"/>
      <c r="S39" s="249"/>
      <c r="T39" s="249"/>
      <c r="U39" s="249"/>
      <c r="V39" s="249"/>
    </row>
    <row r="40" spans="1:22" s="257" customFormat="1" ht="15">
      <c r="A40" s="258" t="s">
        <v>219</v>
      </c>
      <c r="B40" s="244"/>
      <c r="C40" s="252"/>
      <c r="D40" s="244"/>
      <c r="E40" s="252"/>
      <c r="F40" s="253"/>
      <c r="G40" s="252"/>
      <c r="H40" s="253"/>
      <c r="I40" s="252"/>
      <c r="J40" s="253"/>
      <c r="K40" s="252"/>
      <c r="L40" s="253"/>
      <c r="M40" s="252"/>
      <c r="N40" s="253"/>
      <c r="O40" s="252">
        <f>SUM(C40:M40)</f>
        <v>0</v>
      </c>
      <c r="P40" s="597"/>
      <c r="Q40" s="255"/>
      <c r="R40" s="255"/>
      <c r="S40" s="256"/>
      <c r="T40" s="256"/>
      <c r="U40" s="256"/>
      <c r="V40" s="256"/>
    </row>
    <row r="41" spans="1:22" s="235" customFormat="1" ht="15">
      <c r="A41" s="258" t="s">
        <v>220</v>
      </c>
      <c r="B41" s="244"/>
      <c r="C41" s="252"/>
      <c r="D41" s="244"/>
      <c r="E41" s="252"/>
      <c r="F41" s="253"/>
      <c r="G41" s="252"/>
      <c r="H41" s="253"/>
      <c r="I41" s="252"/>
      <c r="J41" s="253"/>
      <c r="K41" s="252"/>
      <c r="L41" s="253"/>
      <c r="M41" s="252"/>
      <c r="N41" s="253"/>
      <c r="O41" s="252"/>
      <c r="P41" s="596"/>
      <c r="Q41" s="171"/>
      <c r="R41" s="171"/>
      <c r="S41" s="249"/>
      <c r="T41" s="249"/>
      <c r="U41" s="249"/>
      <c r="V41" s="249"/>
    </row>
    <row r="42" spans="1:22" s="235" customFormat="1" ht="7.5" customHeight="1">
      <c r="A42" s="244"/>
      <c r="B42" s="244"/>
      <c r="C42" s="248"/>
      <c r="D42" s="244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2"/>
      <c r="P42" s="172"/>
      <c r="Q42" s="171"/>
      <c r="R42" s="171"/>
      <c r="S42" s="249"/>
      <c r="T42" s="249"/>
      <c r="U42" s="249"/>
      <c r="V42" s="249"/>
    </row>
    <row r="43" spans="1:22" s="235" customFormat="1" ht="15" thickBot="1">
      <c r="A43" s="231" t="str">
        <f>CONCATENATE("Остатък към ",НАЧАЛО!AA1,".",НАЧАЛО!AB1,".",НАЧАЛО!AC1," г.")</f>
        <v>Остатък към 30.9.2010 г.</v>
      </c>
      <c r="B43" s="224"/>
      <c r="C43" s="232">
        <f>C28</f>
        <v>88</v>
      </c>
      <c r="D43" s="224"/>
      <c r="E43" s="232">
        <f>E28</f>
        <v>0</v>
      </c>
      <c r="F43" s="233"/>
      <c r="G43" s="232">
        <f>G28</f>
        <v>3698</v>
      </c>
      <c r="H43" s="233"/>
      <c r="I43" s="232">
        <f>I28</f>
        <v>9</v>
      </c>
      <c r="J43" s="233"/>
      <c r="K43" s="232">
        <f>K28</f>
        <v>807</v>
      </c>
      <c r="L43" s="233"/>
      <c r="M43" s="232">
        <f>SUM(M30:M42)+M28</f>
        <v>733</v>
      </c>
      <c r="N43" s="233"/>
      <c r="O43" s="232">
        <f>SUM(O30:O42)+O28</f>
        <v>5335</v>
      </c>
      <c r="P43" s="232">
        <f>SUM(P30:P42)+P28</f>
        <v>157</v>
      </c>
      <c r="Q43" s="171"/>
      <c r="R43" s="171"/>
      <c r="S43" s="249"/>
      <c r="T43" s="249"/>
      <c r="U43" s="249"/>
      <c r="V43" s="249"/>
    </row>
    <row r="44" spans="1:22" s="235" customFormat="1" ht="14.25">
      <c r="A44" s="634">
        <f>IF(AND(C44="",E44="",K44="",M44="",O44=""),"","Разлика в перата между СК и БАЛАНСА!")</f>
      </c>
      <c r="B44" s="634"/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4"/>
      <c r="O44" s="634"/>
      <c r="P44" s="634"/>
      <c r="Q44" s="171"/>
      <c r="R44" s="171"/>
      <c r="S44" s="249"/>
      <c r="T44" s="249"/>
      <c r="U44" s="249"/>
      <c r="V44" s="249"/>
    </row>
    <row r="45" spans="1:22" s="230" customFormat="1" ht="15">
      <c r="A45" s="599" t="str">
        <f>ОПР!A49</f>
        <v>Приложенията от страница 1 до страница 4 са неразделна част от финансовия отчет.</v>
      </c>
      <c r="B45" s="599"/>
      <c r="C45" s="599"/>
      <c r="D45" s="599"/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3"/>
      <c r="Q45" s="171"/>
      <c r="R45" s="171"/>
      <c r="S45" s="250"/>
      <c r="T45" s="250"/>
      <c r="U45" s="250"/>
      <c r="V45" s="250"/>
    </row>
    <row r="46" spans="1:22" s="230" customFormat="1" ht="15">
      <c r="A46" s="262"/>
      <c r="B46" s="263"/>
      <c r="C46" s="262"/>
      <c r="D46" s="264"/>
      <c r="E46" s="262">
        <f>IF(СК!E$43=баланс!E$59,"",баланс!E$59)</f>
      </c>
      <c r="F46" s="265">
        <f>IF(K46="","","Стойност резерви общо:")</f>
      </c>
      <c r="G46" s="265"/>
      <c r="H46" s="265"/>
      <c r="I46" s="265"/>
      <c r="J46" s="265"/>
      <c r="K46" s="605">
        <f>IF(G$43+I$43+K$43=баланс!E$61,"",баланс!E$61)</f>
      </c>
      <c r="L46" s="264"/>
      <c r="M46" s="262"/>
      <c r="N46" s="264"/>
      <c r="O46" s="262"/>
      <c r="P46" s="593"/>
      <c r="Q46" s="266"/>
      <c r="R46" s="250"/>
      <c r="S46" s="250"/>
      <c r="T46" s="250"/>
      <c r="U46" s="250"/>
      <c r="V46" s="250"/>
    </row>
    <row r="47" spans="1:22" s="230" customFormat="1" ht="15">
      <c r="A47" s="70" t="str">
        <f>НАЧАЛО!$A$44</f>
        <v>Представляващ:</v>
      </c>
      <c r="B47" s="267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593"/>
      <c r="Q47" s="250"/>
      <c r="R47" s="250"/>
      <c r="S47" s="250"/>
      <c r="T47" s="250"/>
      <c r="U47" s="250"/>
      <c r="V47" s="250"/>
    </row>
    <row r="48" spans="1:22" ht="15">
      <c r="A48" s="73" t="s">
        <v>812</v>
      </c>
      <c r="B48" s="72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593"/>
      <c r="Q48" s="213"/>
      <c r="R48" s="213"/>
      <c r="S48" s="213"/>
      <c r="T48" s="213"/>
      <c r="U48" s="213"/>
      <c r="V48" s="213"/>
    </row>
    <row r="49" spans="1:22" ht="15">
      <c r="A49" s="73"/>
      <c r="B49" s="270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 t="s">
        <v>98</v>
      </c>
      <c r="P49" s="593"/>
      <c r="Q49" s="213"/>
      <c r="R49" s="213"/>
      <c r="S49" s="213"/>
      <c r="T49" s="213"/>
      <c r="U49" s="213"/>
      <c r="V49" s="213"/>
    </row>
    <row r="50" spans="1:16" s="272" customFormat="1" ht="14.25">
      <c r="A50" s="73" t="s">
        <v>98</v>
      </c>
      <c r="B50" s="75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594"/>
    </row>
    <row r="51" spans="1:22" ht="15">
      <c r="A51" s="73"/>
      <c r="B51" s="270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593"/>
      <c r="Q51" s="213"/>
      <c r="R51" s="213"/>
      <c r="S51" s="213"/>
      <c r="T51" s="213"/>
      <c r="U51" s="213"/>
      <c r="V51" s="213"/>
    </row>
    <row r="52" spans="1:22" ht="15">
      <c r="A52" s="75" t="str">
        <f>НАЧАЛО!$F$44</f>
        <v>Съставител:</v>
      </c>
      <c r="B52" s="72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593"/>
      <c r="Q52" s="213"/>
      <c r="R52" s="213"/>
      <c r="S52" s="213"/>
      <c r="T52" s="213"/>
      <c r="U52" s="213"/>
      <c r="V52" s="213"/>
    </row>
    <row r="53" spans="1:22" ht="15">
      <c r="A53" s="78" t="s">
        <v>814</v>
      </c>
      <c r="B53" s="270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593"/>
      <c r="Q53" s="213"/>
      <c r="R53" s="213"/>
      <c r="S53" s="213"/>
      <c r="T53" s="213"/>
      <c r="U53" s="213"/>
      <c r="V53" s="213"/>
    </row>
    <row r="54" spans="1:22" ht="15">
      <c r="A54" s="75"/>
      <c r="B54" s="270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593"/>
      <c r="Q54" s="213"/>
      <c r="R54" s="213"/>
      <c r="S54" s="213"/>
      <c r="T54" s="213"/>
      <c r="U54" s="213"/>
      <c r="V54" s="213"/>
    </row>
    <row r="55" spans="1:22" ht="15">
      <c r="A55" s="78"/>
      <c r="B55" s="273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593"/>
      <c r="Q55" s="213"/>
      <c r="R55" s="213"/>
      <c r="S55" s="213"/>
      <c r="T55" s="213"/>
      <c r="U55" s="213"/>
      <c r="V55" s="213"/>
    </row>
    <row r="56" spans="1:22" ht="15">
      <c r="A56" s="73"/>
      <c r="B56" s="270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593"/>
      <c r="Q56" s="213"/>
      <c r="R56" s="213"/>
      <c r="S56" s="213"/>
      <c r="T56" s="213"/>
      <c r="U56" s="213"/>
      <c r="V56" s="213"/>
    </row>
    <row r="57" spans="1:16" ht="18.75">
      <c r="A57" s="80"/>
      <c r="B57" s="274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593"/>
    </row>
    <row r="58" spans="1:16" ht="15">
      <c r="A58" s="73" t="str">
        <f>НАЧАЛО!$C$58</f>
        <v>БУРГАС, 30 ноември 2010 г.</v>
      </c>
      <c r="B58" s="273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593"/>
    </row>
    <row r="59" spans="1:16" ht="15">
      <c r="A59" s="275"/>
      <c r="B59" s="275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P59" s="171"/>
    </row>
    <row r="60" spans="1:16" ht="15">
      <c r="A60" s="276"/>
      <c r="B60" s="276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P60" s="171"/>
    </row>
    <row r="61" spans="1:16" ht="15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P61" s="171"/>
    </row>
    <row r="62" spans="1:16" ht="15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P62" s="171"/>
    </row>
    <row r="63" spans="1:16" ht="1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P63" s="171"/>
    </row>
    <row r="64" spans="1:16" ht="1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P64" s="171"/>
    </row>
    <row r="65" spans="1:16" ht="1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P65" s="171"/>
    </row>
    <row r="66" spans="1:16" ht="15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P66" s="171"/>
    </row>
    <row r="67" spans="1:19" ht="87.75" customHeight="1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O67" s="277"/>
      <c r="P67" s="171"/>
      <c r="S67" s="214" t="s">
        <v>98</v>
      </c>
    </row>
    <row r="68" spans="1:16" ht="15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P68" s="171"/>
    </row>
    <row r="69" spans="1:16" ht="15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P69" s="171"/>
    </row>
    <row r="70" spans="1:16" ht="15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P70" s="171"/>
    </row>
    <row r="71" ht="15">
      <c r="P71" s="171"/>
    </row>
    <row r="72" ht="15">
      <c r="P72" s="171"/>
    </row>
    <row r="73" ht="15">
      <c r="P73" s="171"/>
    </row>
    <row r="74" ht="15">
      <c r="P74" s="171"/>
    </row>
    <row r="75" ht="15">
      <c r="P75" s="171"/>
    </row>
  </sheetData>
  <mergeCells count="13">
    <mergeCell ref="K4:K5"/>
    <mergeCell ref="M4:M5"/>
    <mergeCell ref="P4:P5"/>
    <mergeCell ref="A1:P1"/>
    <mergeCell ref="A2:P2"/>
    <mergeCell ref="O4:O5"/>
    <mergeCell ref="A44:P44"/>
    <mergeCell ref="A3:O3"/>
    <mergeCell ref="A4:A5"/>
    <mergeCell ref="C4:C5"/>
    <mergeCell ref="E4:E5"/>
    <mergeCell ref="G4:G5"/>
    <mergeCell ref="I4:I5"/>
  </mergeCells>
  <printOptions horizontalCentered="1"/>
  <pageMargins left="0.9448818897637796" right="1.0236220472440944" top="0.4724409448818898" bottom="0.7086614173228347" header="0.5118110236220472" footer="0.7086614173228347"/>
  <pageSetup firstPageNumber="1" useFirstPageNumber="1" fitToHeight="1" fitToWidth="1" horizontalDpi="300" verticalDpi="300" orientation="portrait" paperSize="9" scale="70" r:id="rId1"/>
  <rowBreaks count="1" manualBreakCount="1">
    <brk id="58" max="255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BP176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J33" sqref="J33"/>
    </sheetView>
  </sheetViews>
  <sheetFormatPr defaultColWidth="9.140625" defaultRowHeight="12.75"/>
  <cols>
    <col min="1" max="1" width="2.7109375" style="278" customWidth="1"/>
    <col min="2" max="2" width="22.421875" style="279" customWidth="1"/>
    <col min="3" max="3" width="0" style="279" hidden="1" customWidth="1"/>
    <col min="4" max="4" width="9.57421875" style="1" customWidth="1"/>
    <col min="5" max="5" width="10.8515625" style="1" customWidth="1"/>
    <col min="6" max="6" width="10.8515625" style="278" customWidth="1"/>
    <col min="7" max="7" width="10.140625" style="278" customWidth="1"/>
    <col min="8" max="8" width="8.140625" style="278" customWidth="1"/>
    <col min="9" max="9" width="11.140625" style="278" customWidth="1"/>
    <col min="10" max="10" width="8.57421875" style="278" customWidth="1"/>
    <col min="11" max="11" width="3.00390625" style="278" customWidth="1"/>
    <col min="12" max="12" width="22.140625" style="278" customWidth="1"/>
    <col min="13" max="13" width="9.8515625" style="278" customWidth="1"/>
    <col min="14" max="14" width="10.140625" style="278" customWidth="1"/>
    <col min="15" max="15" width="8.421875" style="278" customWidth="1"/>
    <col min="16" max="16" width="9.00390625" style="278" customWidth="1"/>
    <col min="17" max="17" width="3.140625" style="278" customWidth="1"/>
    <col min="18" max="18" width="22.140625" style="278" customWidth="1"/>
    <col min="19" max="19" width="9.28125" style="278" customWidth="1"/>
    <col min="20" max="20" width="9.421875" style="278" customWidth="1"/>
    <col min="21" max="21" width="8.8515625" style="278" customWidth="1"/>
    <col min="22" max="22" width="9.140625" style="278" customWidth="1"/>
    <col min="23" max="23" width="4.7109375" style="278" customWidth="1"/>
    <col min="24" max="25" width="14.00390625" style="278" customWidth="1"/>
    <col min="26" max="27" width="11.8515625" style="278" customWidth="1"/>
    <col min="28" max="28" width="10.57421875" style="278" customWidth="1"/>
    <col min="29" max="16384" width="20.8515625" style="278" customWidth="1"/>
  </cols>
  <sheetData>
    <row r="1" spans="2:27" ht="14.25" customHeight="1">
      <c r="B1" s="663" t="s">
        <v>222</v>
      </c>
      <c r="C1" s="663"/>
      <c r="D1" s="663"/>
      <c r="E1" s="663"/>
      <c r="F1" s="663"/>
      <c r="G1" s="663"/>
      <c r="H1" s="663"/>
      <c r="I1" s="663"/>
      <c r="J1" s="663"/>
      <c r="L1" s="664" t="s">
        <v>105</v>
      </c>
      <c r="M1" s="664"/>
      <c r="N1" s="664"/>
      <c r="O1" s="664"/>
      <c r="P1" s="664"/>
      <c r="Q1" s="280"/>
      <c r="R1" s="664" t="s">
        <v>103</v>
      </c>
      <c r="S1" s="664"/>
      <c r="T1" s="664"/>
      <c r="U1" s="664"/>
      <c r="V1" s="664"/>
      <c r="X1" s="665" t="s">
        <v>223</v>
      </c>
      <c r="Y1" s="665"/>
      <c r="Z1" s="665"/>
      <c r="AA1" s="665"/>
    </row>
    <row r="2" spans="2:27" s="281" customFormat="1" ht="18.75" customHeight="1">
      <c r="B2" s="659"/>
      <c r="C2" s="660" t="s">
        <v>224</v>
      </c>
      <c r="D2" s="657" t="s">
        <v>225</v>
      </c>
      <c r="E2" s="656" t="s">
        <v>226</v>
      </c>
      <c r="F2" s="661" t="s">
        <v>227</v>
      </c>
      <c r="G2" s="662" t="s">
        <v>228</v>
      </c>
      <c r="H2" s="662" t="s">
        <v>229</v>
      </c>
      <c r="I2" s="657" t="s">
        <v>230</v>
      </c>
      <c r="J2" s="656" t="s">
        <v>231</v>
      </c>
      <c r="K2" s="282"/>
      <c r="L2" s="659"/>
      <c r="M2" s="657" t="s">
        <v>232</v>
      </c>
      <c r="N2" s="657" t="s">
        <v>233</v>
      </c>
      <c r="O2" s="657" t="s">
        <v>229</v>
      </c>
      <c r="P2" s="656" t="s">
        <v>231</v>
      </c>
      <c r="Q2" s="283"/>
      <c r="R2" s="659"/>
      <c r="S2" s="660" t="s">
        <v>224</v>
      </c>
      <c r="T2" s="656" t="s">
        <v>234</v>
      </c>
      <c r="U2" s="657" t="s">
        <v>229</v>
      </c>
      <c r="V2" s="656" t="s">
        <v>231</v>
      </c>
      <c r="X2" s="658"/>
      <c r="Y2" s="658"/>
      <c r="Z2" s="652">
        <f>НАЧАЛО!AA2</f>
        <v>40451</v>
      </c>
      <c r="AA2" s="653" t="str">
        <f>CONCATENATE("31.12.",YEAR(Z2)-1," г.")</f>
        <v>31.12.2009 г.</v>
      </c>
    </row>
    <row r="3" spans="2:27" s="281" customFormat="1" ht="18.75">
      <c r="B3" s="659"/>
      <c r="C3" s="660"/>
      <c r="D3" s="657"/>
      <c r="E3" s="656"/>
      <c r="F3" s="661"/>
      <c r="G3" s="662"/>
      <c r="H3" s="662" t="s">
        <v>235</v>
      </c>
      <c r="I3" s="657"/>
      <c r="J3" s="656"/>
      <c r="K3" s="284"/>
      <c r="L3" s="659"/>
      <c r="M3" s="657"/>
      <c r="N3" s="657"/>
      <c r="O3" s="657"/>
      <c r="P3" s="656"/>
      <c r="Q3" s="283"/>
      <c r="R3" s="659"/>
      <c r="S3" s="660"/>
      <c r="T3" s="656"/>
      <c r="U3" s="657"/>
      <c r="V3" s="656"/>
      <c r="X3" s="658"/>
      <c r="Y3" s="658"/>
      <c r="Z3" s="652"/>
      <c r="AA3" s="653"/>
    </row>
    <row r="4" spans="2:27" s="281" customFormat="1" ht="15" customHeight="1">
      <c r="B4" s="285" t="s">
        <v>236</v>
      </c>
      <c r="C4" s="285"/>
      <c r="D4" s="286"/>
      <c r="E4" s="286"/>
      <c r="F4" s="287"/>
      <c r="G4" s="287"/>
      <c r="H4" s="287"/>
      <c r="I4" s="287"/>
      <c r="J4" s="287"/>
      <c r="K4" s="288"/>
      <c r="L4" s="285" t="s">
        <v>236</v>
      </c>
      <c r="M4" s="285"/>
      <c r="N4" s="286"/>
      <c r="O4" s="287"/>
      <c r="P4" s="287"/>
      <c r="Q4" s="283"/>
      <c r="R4" s="285" t="s">
        <v>236</v>
      </c>
      <c r="S4" s="285"/>
      <c r="T4" s="286"/>
      <c r="U4" s="287"/>
      <c r="V4" s="287"/>
      <c r="X4" s="654"/>
      <c r="Y4" s="654"/>
      <c r="Z4" s="654"/>
      <c r="AA4" s="654"/>
    </row>
    <row r="5" spans="2:27" s="289" customFormat="1" ht="15" customHeight="1">
      <c r="B5" s="290" t="str">
        <f>CONCATENATE("Салдо към 31.12.",НАЧАЛО!AC1-2)</f>
        <v>Салдо към 31.12.2008</v>
      </c>
      <c r="C5" s="291"/>
      <c r="D5" s="292">
        <v>2744</v>
      </c>
      <c r="E5" s="293">
        <v>3195</v>
      </c>
      <c r="F5" s="294">
        <v>403</v>
      </c>
      <c r="G5" s="295">
        <v>605</v>
      </c>
      <c r="H5" s="295">
        <v>180</v>
      </c>
      <c r="I5" s="295">
        <v>14</v>
      </c>
      <c r="J5" s="296">
        <f aca="true" t="shared" si="0" ref="J5:J10">SUM(C5:I5)</f>
        <v>7141</v>
      </c>
      <c r="K5" s="297"/>
      <c r="L5" s="290" t="str">
        <f>B5</f>
        <v>Салдо към 31.12.2008</v>
      </c>
      <c r="M5" s="298"/>
      <c r="N5" s="299">
        <v>7</v>
      </c>
      <c r="O5" s="300">
        <v>4</v>
      </c>
      <c r="P5" s="301">
        <f aca="true" t="shared" si="1" ref="P5:P10">SUM(M5:O5)</f>
        <v>11</v>
      </c>
      <c r="Q5" s="302"/>
      <c r="R5" s="290" t="str">
        <f>B5</f>
        <v>Салдо към 31.12.2008</v>
      </c>
      <c r="S5" s="298"/>
      <c r="T5" s="303"/>
      <c r="U5" s="300"/>
      <c r="V5" s="301">
        <f aca="true" t="shared" si="2" ref="V5:V10">SUM(S5:U5)</f>
        <v>0</v>
      </c>
      <c r="X5" s="655" t="s">
        <v>237</v>
      </c>
      <c r="Y5" s="655"/>
      <c r="Z5" s="304">
        <f>SUM(Z6:Z7)</f>
        <v>0</v>
      </c>
      <c r="AA5" s="304">
        <f>SUM(AA6:AA7)</f>
        <v>0</v>
      </c>
    </row>
    <row r="6" spans="2:27" s="305" customFormat="1" ht="15" customHeight="1">
      <c r="B6" s="306" t="s">
        <v>238</v>
      </c>
      <c r="C6" s="307"/>
      <c r="D6" s="308">
        <v>1836</v>
      </c>
      <c r="E6" s="309">
        <v>2</v>
      </c>
      <c r="F6" s="310">
        <v>368</v>
      </c>
      <c r="G6" s="311">
        <v>206</v>
      </c>
      <c r="H6" s="311">
        <v>19</v>
      </c>
      <c r="I6" s="311"/>
      <c r="J6" s="296">
        <f t="shared" si="0"/>
        <v>2431</v>
      </c>
      <c r="K6" s="312"/>
      <c r="L6" s="306" t="s">
        <v>238</v>
      </c>
      <c r="M6" s="313"/>
      <c r="N6" s="313"/>
      <c r="O6" s="313">
        <v>12</v>
      </c>
      <c r="P6" s="301">
        <f t="shared" si="1"/>
        <v>12</v>
      </c>
      <c r="Q6" s="314"/>
      <c r="R6" s="306" t="s">
        <v>238</v>
      </c>
      <c r="S6" s="315"/>
      <c r="T6" s="316"/>
      <c r="U6" s="317"/>
      <c r="V6" s="301">
        <f t="shared" si="2"/>
        <v>0</v>
      </c>
      <c r="X6" s="650" t="s">
        <v>224</v>
      </c>
      <c r="Y6" s="650"/>
      <c r="Z6" s="318"/>
      <c r="AA6" s="318"/>
    </row>
    <row r="7" spans="2:27" s="305" customFormat="1" ht="15" customHeight="1">
      <c r="B7" s="306" t="s">
        <v>239</v>
      </c>
      <c r="C7" s="307"/>
      <c r="D7" s="319"/>
      <c r="E7" s="309">
        <v>-2404</v>
      </c>
      <c r="F7" s="310">
        <v>-6</v>
      </c>
      <c r="G7" s="311">
        <v>-50</v>
      </c>
      <c r="H7" s="311"/>
      <c r="I7" s="311">
        <v>-14</v>
      </c>
      <c r="J7" s="296">
        <f t="shared" si="0"/>
        <v>-2474</v>
      </c>
      <c r="K7" s="320"/>
      <c r="L7" s="306" t="s">
        <v>239</v>
      </c>
      <c r="M7" s="317"/>
      <c r="N7" s="317"/>
      <c r="O7" s="317"/>
      <c r="P7" s="301">
        <f t="shared" si="1"/>
        <v>0</v>
      </c>
      <c r="Q7" s="314"/>
      <c r="R7" s="306" t="s">
        <v>239</v>
      </c>
      <c r="S7" s="321"/>
      <c r="T7" s="322"/>
      <c r="U7" s="317"/>
      <c r="V7" s="301">
        <f t="shared" si="2"/>
        <v>0</v>
      </c>
      <c r="X7" s="650" t="s">
        <v>240</v>
      </c>
      <c r="Y7" s="650"/>
      <c r="Z7" s="323"/>
      <c r="AA7" s="323"/>
    </row>
    <row r="8" spans="2:27" s="305" customFormat="1" ht="15" customHeight="1">
      <c r="B8" s="306" t="s">
        <v>241</v>
      </c>
      <c r="C8" s="324"/>
      <c r="D8" s="325">
        <v>14</v>
      </c>
      <c r="E8" s="326"/>
      <c r="F8" s="310"/>
      <c r="G8" s="310"/>
      <c r="H8" s="310"/>
      <c r="I8" s="310"/>
      <c r="J8" s="296">
        <f t="shared" si="0"/>
        <v>14</v>
      </c>
      <c r="K8" s="320"/>
      <c r="L8" s="306" t="s">
        <v>241</v>
      </c>
      <c r="M8" s="306"/>
      <c r="N8" s="322"/>
      <c r="O8" s="327"/>
      <c r="P8" s="301">
        <f t="shared" si="1"/>
        <v>0</v>
      </c>
      <c r="Q8" s="314"/>
      <c r="R8" s="306" t="s">
        <v>241</v>
      </c>
      <c r="S8" s="306"/>
      <c r="T8" s="322"/>
      <c r="U8" s="327"/>
      <c r="V8" s="301">
        <f t="shared" si="2"/>
        <v>0</v>
      </c>
      <c r="X8" s="651" t="s">
        <v>242</v>
      </c>
      <c r="Y8" s="651"/>
      <c r="Z8" s="304">
        <f>SUM(Z9:Z10)</f>
        <v>0</v>
      </c>
      <c r="AA8" s="304">
        <f>SUM(AA9:AA10)</f>
        <v>0</v>
      </c>
    </row>
    <row r="9" spans="2:27" s="305" customFormat="1" ht="15" customHeight="1">
      <c r="B9" s="306" t="s">
        <v>243</v>
      </c>
      <c r="C9" s="324"/>
      <c r="D9" s="325"/>
      <c r="E9" s="326"/>
      <c r="F9" s="310"/>
      <c r="G9" s="310"/>
      <c r="H9" s="310"/>
      <c r="I9" s="310"/>
      <c r="J9" s="296">
        <f t="shared" si="0"/>
        <v>0</v>
      </c>
      <c r="K9" s="320"/>
      <c r="L9" s="306" t="s">
        <v>243</v>
      </c>
      <c r="M9" s="306"/>
      <c r="N9" s="322"/>
      <c r="O9" s="327"/>
      <c r="P9" s="301">
        <f t="shared" si="1"/>
        <v>0</v>
      </c>
      <c r="Q9" s="314"/>
      <c r="R9" s="306" t="s">
        <v>243</v>
      </c>
      <c r="S9" s="306"/>
      <c r="T9" s="322"/>
      <c r="U9" s="327"/>
      <c r="V9" s="301">
        <f t="shared" si="2"/>
        <v>0</v>
      </c>
      <c r="X9" s="650" t="s">
        <v>244</v>
      </c>
      <c r="Y9" s="650"/>
      <c r="Z9" s="318"/>
      <c r="AA9" s="318"/>
    </row>
    <row r="10" spans="2:27" s="305" customFormat="1" ht="15" customHeight="1">
      <c r="B10" s="306" t="s">
        <v>245</v>
      </c>
      <c r="C10" s="324"/>
      <c r="D10" s="325"/>
      <c r="E10" s="326"/>
      <c r="F10" s="310"/>
      <c r="G10" s="310"/>
      <c r="H10" s="310"/>
      <c r="I10" s="310"/>
      <c r="J10" s="296">
        <f t="shared" si="0"/>
        <v>0</v>
      </c>
      <c r="K10" s="320"/>
      <c r="L10" s="306" t="s">
        <v>245</v>
      </c>
      <c r="M10" s="306"/>
      <c r="N10" s="322"/>
      <c r="O10" s="327"/>
      <c r="P10" s="301">
        <f t="shared" si="1"/>
        <v>0</v>
      </c>
      <c r="Q10" s="314"/>
      <c r="R10" s="306" t="s">
        <v>245</v>
      </c>
      <c r="S10" s="306"/>
      <c r="T10" s="322"/>
      <c r="U10" s="327"/>
      <c r="V10" s="301">
        <f t="shared" si="2"/>
        <v>0</v>
      </c>
      <c r="X10" s="650" t="s">
        <v>246</v>
      </c>
      <c r="Y10" s="650"/>
      <c r="Z10" s="323"/>
      <c r="AA10" s="323"/>
    </row>
    <row r="11" spans="2:27" s="305" customFormat="1" ht="15" customHeight="1">
      <c r="B11" s="328" t="str">
        <f>CONCATENATE("Салдо към 31.12.",НАЧАЛО!AC1-1)</f>
        <v>Салдо към 31.12.2009</v>
      </c>
      <c r="C11" s="329">
        <f>SUM(C5:C10)</f>
        <v>0</v>
      </c>
      <c r="D11" s="329">
        <f aca="true" t="shared" si="3" ref="D11:J11">SUM(D5:D10)</f>
        <v>4594</v>
      </c>
      <c r="E11" s="329">
        <f t="shared" si="3"/>
        <v>793</v>
      </c>
      <c r="F11" s="329">
        <f t="shared" si="3"/>
        <v>765</v>
      </c>
      <c r="G11" s="329">
        <f t="shared" si="3"/>
        <v>761</v>
      </c>
      <c r="H11" s="329">
        <f t="shared" si="3"/>
        <v>199</v>
      </c>
      <c r="I11" s="329">
        <f t="shared" si="3"/>
        <v>0</v>
      </c>
      <c r="J11" s="329">
        <f t="shared" si="3"/>
        <v>7112</v>
      </c>
      <c r="K11" s="320"/>
      <c r="L11" s="328" t="str">
        <f>B11</f>
        <v>Салдо към 31.12.2009</v>
      </c>
      <c r="M11" s="304">
        <f>SUM(M5:M10)</f>
        <v>0</v>
      </c>
      <c r="N11" s="304">
        <f>SUM(N5:N10)</f>
        <v>7</v>
      </c>
      <c r="O11" s="304">
        <f>SUM(O5:O10)</f>
        <v>16</v>
      </c>
      <c r="P11" s="304">
        <f>SUM(P5:P10)</f>
        <v>23</v>
      </c>
      <c r="Q11" s="314"/>
      <c r="R11" s="328" t="str">
        <f>B11</f>
        <v>Салдо към 31.12.2009</v>
      </c>
      <c r="S11" s="304">
        <f>SUM(S5:S10)</f>
        <v>0</v>
      </c>
      <c r="T11" s="304">
        <f>SUM(T5:T10)</f>
        <v>0</v>
      </c>
      <c r="U11" s="304">
        <f>SUM(U5:U10)</f>
        <v>0</v>
      </c>
      <c r="V11" s="304">
        <f>SUM(V5:V10)</f>
        <v>0</v>
      </c>
      <c r="X11" s="651" t="s">
        <v>247</v>
      </c>
      <c r="Y11" s="651"/>
      <c r="Z11" s="304">
        <f>SUM(Z12:Z13)</f>
        <v>0</v>
      </c>
      <c r="AA11" s="304">
        <f>SUM(AA12:AA13)</f>
        <v>0</v>
      </c>
    </row>
    <row r="12" spans="2:27" ht="15" customHeight="1">
      <c r="B12" s="306" t="s">
        <v>238</v>
      </c>
      <c r="C12" s="307"/>
      <c r="D12" s="330"/>
      <c r="E12" s="331"/>
      <c r="F12" s="310">
        <v>865</v>
      </c>
      <c r="G12" s="311">
        <v>321</v>
      </c>
      <c r="H12" s="311">
        <v>10</v>
      </c>
      <c r="I12" s="311"/>
      <c r="J12" s="296">
        <f>SUM(C12:I12)</f>
        <v>1196</v>
      </c>
      <c r="K12" s="312"/>
      <c r="L12" s="306" t="s">
        <v>238</v>
      </c>
      <c r="M12" s="321"/>
      <c r="N12" s="308"/>
      <c r="O12" s="317"/>
      <c r="P12" s="301">
        <f>SUM(M12:O12)</f>
        <v>0</v>
      </c>
      <c r="R12" s="306" t="s">
        <v>238</v>
      </c>
      <c r="S12" s="313"/>
      <c r="T12" s="308"/>
      <c r="U12" s="317"/>
      <c r="V12" s="301">
        <f>SUM(S12:U12)</f>
        <v>0</v>
      </c>
      <c r="X12" s="648" t="s">
        <v>248</v>
      </c>
      <c r="Y12" s="648"/>
      <c r="Z12" s="318"/>
      <c r="AA12" s="318"/>
    </row>
    <row r="13" spans="2:27" ht="15" customHeight="1">
      <c r="B13" s="306" t="s">
        <v>239</v>
      </c>
      <c r="C13" s="307"/>
      <c r="D13" s="311"/>
      <c r="E13" s="311"/>
      <c r="F13" s="311">
        <v>-1</v>
      </c>
      <c r="G13" s="311">
        <v>-3</v>
      </c>
      <c r="H13" s="311"/>
      <c r="I13" s="311"/>
      <c r="J13" s="296">
        <f>SUM(C13:I13)</f>
        <v>-4</v>
      </c>
      <c r="K13" s="332"/>
      <c r="L13" s="306" t="s">
        <v>239</v>
      </c>
      <c r="M13" s="333"/>
      <c r="N13" s="308"/>
      <c r="O13" s="317"/>
      <c r="P13" s="301">
        <f>SUM(M13:O13)</f>
        <v>0</v>
      </c>
      <c r="R13" s="306" t="s">
        <v>239</v>
      </c>
      <c r="S13" s="321"/>
      <c r="T13" s="308"/>
      <c r="U13" s="317"/>
      <c r="V13" s="301">
        <f>SUM(S13:U13)</f>
        <v>0</v>
      </c>
      <c r="X13" s="648" t="s">
        <v>249</v>
      </c>
      <c r="Y13" s="648"/>
      <c r="Z13" s="323"/>
      <c r="AA13" s="323"/>
    </row>
    <row r="14" spans="2:27" ht="15" customHeight="1">
      <c r="B14" s="306" t="s">
        <v>241</v>
      </c>
      <c r="C14" s="334"/>
      <c r="D14" s="330"/>
      <c r="E14" s="311"/>
      <c r="F14" s="311"/>
      <c r="G14" s="311"/>
      <c r="H14" s="311"/>
      <c r="I14" s="311"/>
      <c r="J14" s="296">
        <f>SUM(C14:I14)</f>
        <v>0</v>
      </c>
      <c r="K14" s="332"/>
      <c r="L14" s="306" t="s">
        <v>241</v>
      </c>
      <c r="M14" s="335"/>
      <c r="N14" s="336"/>
      <c r="O14" s="337"/>
      <c r="P14" s="301">
        <f>SUM(M14:O14)</f>
        <v>0</v>
      </c>
      <c r="R14" s="306" t="s">
        <v>241</v>
      </c>
      <c r="S14" s="335"/>
      <c r="T14" s="336"/>
      <c r="U14" s="337"/>
      <c r="V14" s="301">
        <f>SUM(S14:U14)</f>
        <v>0</v>
      </c>
      <c r="X14" s="649" t="s">
        <v>250</v>
      </c>
      <c r="Y14" s="649"/>
      <c r="Z14" s="304">
        <f>SUM(Z15:Z16)</f>
        <v>0</v>
      </c>
      <c r="AA14" s="304">
        <f>SUM(AA15:AA16)</f>
        <v>0</v>
      </c>
    </row>
    <row r="15" spans="2:27" ht="15" customHeight="1">
      <c r="B15" s="306" t="s">
        <v>243</v>
      </c>
      <c r="C15" s="334"/>
      <c r="D15" s="330"/>
      <c r="E15" s="311"/>
      <c r="F15" s="311"/>
      <c r="G15" s="311"/>
      <c r="H15" s="311"/>
      <c r="I15" s="311"/>
      <c r="J15" s="296">
        <f>SUM(C15:I15)</f>
        <v>0</v>
      </c>
      <c r="K15" s="332"/>
      <c r="L15" s="306" t="s">
        <v>243</v>
      </c>
      <c r="M15" s="335"/>
      <c r="N15" s="336"/>
      <c r="O15" s="337"/>
      <c r="P15" s="301">
        <f>SUM(M15:O15)</f>
        <v>0</v>
      </c>
      <c r="R15" s="306" t="s">
        <v>243</v>
      </c>
      <c r="S15" s="335"/>
      <c r="T15" s="336"/>
      <c r="U15" s="337"/>
      <c r="V15" s="301">
        <f>SUM(S15:U15)</f>
        <v>0</v>
      </c>
      <c r="X15" s="648" t="s">
        <v>251</v>
      </c>
      <c r="Y15" s="648"/>
      <c r="Z15" s="318"/>
      <c r="AA15" s="318"/>
    </row>
    <row r="16" spans="2:27" ht="15" customHeight="1">
      <c r="B16" s="306" t="s">
        <v>245</v>
      </c>
      <c r="C16" s="334"/>
      <c r="D16" s="330"/>
      <c r="E16" s="311"/>
      <c r="F16" s="311"/>
      <c r="G16" s="311"/>
      <c r="H16" s="311"/>
      <c r="I16" s="311"/>
      <c r="J16" s="296">
        <f>SUM(C16:I16)</f>
        <v>0</v>
      </c>
      <c r="K16" s="332"/>
      <c r="L16" s="306" t="s">
        <v>245</v>
      </c>
      <c r="M16" s="335"/>
      <c r="N16" s="336"/>
      <c r="O16" s="337"/>
      <c r="P16" s="301">
        <f>SUM(M16:O16)</f>
        <v>0</v>
      </c>
      <c r="R16" s="306" t="s">
        <v>245</v>
      </c>
      <c r="S16" s="335"/>
      <c r="T16" s="336"/>
      <c r="U16" s="337"/>
      <c r="V16" s="301">
        <f>SUM(S16:U16)</f>
        <v>0</v>
      </c>
      <c r="X16" s="648" t="s">
        <v>252</v>
      </c>
      <c r="Y16" s="648"/>
      <c r="Z16" s="323"/>
      <c r="AA16" s="323"/>
    </row>
    <row r="17" spans="2:27" ht="15" customHeight="1">
      <c r="B17" s="338" t="str">
        <f>CONCATENATE("Салдо към ",НАЧАЛО!AA1,".",НАЧАЛО!AB1,".",НАЧАЛО!AC1)</f>
        <v>Салдо към 30.9.2010</v>
      </c>
      <c r="C17" s="339">
        <f>SUM(C11:C16)</f>
        <v>0</v>
      </c>
      <c r="D17" s="339">
        <f aca="true" t="shared" si="4" ref="D17:I17">SUM(D11:D16)</f>
        <v>4594</v>
      </c>
      <c r="E17" s="339">
        <f t="shared" si="4"/>
        <v>793</v>
      </c>
      <c r="F17" s="339">
        <f t="shared" si="4"/>
        <v>1629</v>
      </c>
      <c r="G17" s="339">
        <f t="shared" si="4"/>
        <v>1079</v>
      </c>
      <c r="H17" s="339">
        <f t="shared" si="4"/>
        <v>209</v>
      </c>
      <c r="I17" s="339">
        <f t="shared" si="4"/>
        <v>0</v>
      </c>
      <c r="J17" s="340">
        <f>SUM(J11:J16)</f>
        <v>8304</v>
      </c>
      <c r="K17" s="341"/>
      <c r="L17" s="338" t="str">
        <f>B17</f>
        <v>Салдо към 30.9.2010</v>
      </c>
      <c r="M17" s="339">
        <f>SUM(M11:M16)</f>
        <v>0</v>
      </c>
      <c r="N17" s="339">
        <f>SUM(N11:N16)</f>
        <v>7</v>
      </c>
      <c r="O17" s="339">
        <f>SUM(O11:O16)</f>
        <v>16</v>
      </c>
      <c r="P17" s="340">
        <f>SUM(P11:P16)</f>
        <v>23</v>
      </c>
      <c r="Q17" s="342"/>
      <c r="R17" s="338" t="str">
        <f>B17</f>
        <v>Салдо към 30.9.2010</v>
      </c>
      <c r="S17" s="339">
        <f>SUM(S11:S16)</f>
        <v>0</v>
      </c>
      <c r="T17" s="339">
        <f>SUM(T11:T16)</f>
        <v>0</v>
      </c>
      <c r="U17" s="339">
        <f>SUM(U11:U16)</f>
        <v>0</v>
      </c>
      <c r="V17" s="340">
        <f>SUM(V11:V16)</f>
        <v>0</v>
      </c>
      <c r="X17" s="649" t="s">
        <v>253</v>
      </c>
      <c r="Y17" s="649"/>
      <c r="Z17" s="304">
        <f>SUM(Z18:Z19)</f>
        <v>0</v>
      </c>
      <c r="AA17" s="304">
        <f>SUM(AA18:AA19)</f>
        <v>0</v>
      </c>
    </row>
    <row r="18" spans="2:27" ht="15" customHeight="1">
      <c r="B18" s="285" t="s">
        <v>254</v>
      </c>
      <c r="C18" s="285"/>
      <c r="D18" s="343"/>
      <c r="E18" s="343"/>
      <c r="F18" s="287"/>
      <c r="G18" s="287"/>
      <c r="H18" s="287"/>
      <c r="I18" s="287"/>
      <c r="J18" s="287"/>
      <c r="K18" s="341"/>
      <c r="L18" s="285" t="s">
        <v>254</v>
      </c>
      <c r="M18" s="285"/>
      <c r="N18" s="343"/>
      <c r="O18" s="287"/>
      <c r="P18" s="287"/>
      <c r="Q18" s="342"/>
      <c r="R18" s="285" t="s">
        <v>254</v>
      </c>
      <c r="S18" s="285"/>
      <c r="T18" s="343"/>
      <c r="U18" s="287"/>
      <c r="V18" s="287"/>
      <c r="X18" s="648" t="s">
        <v>255</v>
      </c>
      <c r="Y18" s="648"/>
      <c r="Z18" s="318"/>
      <c r="AA18" s="318"/>
    </row>
    <row r="19" spans="2:27" ht="15" customHeight="1">
      <c r="B19" s="290" t="str">
        <f>CONCATENATE("Салдо към 31.12.",НАЧАЛО!AC1-2)</f>
        <v>Салдо към 31.12.2008</v>
      </c>
      <c r="C19" s="298"/>
      <c r="D19" s="344">
        <v>-278</v>
      </c>
      <c r="E19" s="345">
        <v>-869</v>
      </c>
      <c r="F19" s="346">
        <v>-322</v>
      </c>
      <c r="G19" s="300">
        <v>-446</v>
      </c>
      <c r="H19" s="300">
        <v>-104</v>
      </c>
      <c r="I19" s="300"/>
      <c r="J19" s="300">
        <f aca="true" t="shared" si="5" ref="J19:J24">SUM(C19:I19)</f>
        <v>-2019</v>
      </c>
      <c r="K19" s="341"/>
      <c r="L19" s="290" t="str">
        <f>B19</f>
        <v>Салдо към 31.12.2008</v>
      </c>
      <c r="M19" s="347"/>
      <c r="N19" s="348">
        <v>-6</v>
      </c>
      <c r="O19" s="349">
        <v>-3</v>
      </c>
      <c r="P19" s="349">
        <f aca="true" t="shared" si="6" ref="P19:P24">SUM(M19:O19)</f>
        <v>-9</v>
      </c>
      <c r="Q19" s="342"/>
      <c r="R19" s="290" t="str">
        <f>B19</f>
        <v>Салдо към 31.12.2008</v>
      </c>
      <c r="S19" s="298"/>
      <c r="T19" s="350"/>
      <c r="U19" s="300"/>
      <c r="V19" s="300">
        <f aca="true" t="shared" si="7" ref="V19:V24">SUM(S19:U19)</f>
        <v>0</v>
      </c>
      <c r="X19" s="648" t="s">
        <v>256</v>
      </c>
      <c r="Y19" s="648"/>
      <c r="Z19" s="323"/>
      <c r="AA19" s="323"/>
    </row>
    <row r="20" spans="2:27" ht="15" customHeight="1">
      <c r="B20" s="306" t="s">
        <v>238</v>
      </c>
      <c r="C20" s="321"/>
      <c r="D20" s="351">
        <v>-28</v>
      </c>
      <c r="E20" s="352">
        <v>-128</v>
      </c>
      <c r="F20" s="327">
        <v>-86</v>
      </c>
      <c r="G20" s="317">
        <v>-71</v>
      </c>
      <c r="H20" s="317">
        <v>-21</v>
      </c>
      <c r="I20" s="317"/>
      <c r="J20" s="300">
        <f t="shared" si="5"/>
        <v>-334</v>
      </c>
      <c r="K20" s="341"/>
      <c r="L20" s="306" t="s">
        <v>238</v>
      </c>
      <c r="M20" s="333"/>
      <c r="N20" s="351">
        <v>-1</v>
      </c>
      <c r="O20" s="317">
        <v>-1</v>
      </c>
      <c r="P20" s="300">
        <f t="shared" si="6"/>
        <v>-2</v>
      </c>
      <c r="Q20" s="342"/>
      <c r="R20" s="306" t="s">
        <v>238</v>
      </c>
      <c r="S20" s="321"/>
      <c r="T20" s="308"/>
      <c r="U20" s="317"/>
      <c r="V20" s="300">
        <f t="shared" si="7"/>
        <v>0</v>
      </c>
      <c r="X20" s="649" t="s">
        <v>257</v>
      </c>
      <c r="Y20" s="649"/>
      <c r="Z20" s="304">
        <f>SUM(Z21:Z22)</f>
        <v>0</v>
      </c>
      <c r="AA20" s="304">
        <f>SUM(AA21:AA22)</f>
        <v>0</v>
      </c>
    </row>
    <row r="21" spans="2:27" ht="15" customHeight="1">
      <c r="B21" s="306" t="s">
        <v>239</v>
      </c>
      <c r="C21" s="321"/>
      <c r="D21" s="319"/>
      <c r="E21" s="319">
        <v>569</v>
      </c>
      <c r="F21" s="319">
        <v>6</v>
      </c>
      <c r="G21" s="319">
        <v>33</v>
      </c>
      <c r="H21" s="319"/>
      <c r="I21" s="319"/>
      <c r="J21" s="300">
        <f t="shared" si="5"/>
        <v>608</v>
      </c>
      <c r="K21" s="341"/>
      <c r="L21" s="306" t="s">
        <v>239</v>
      </c>
      <c r="M21" s="317"/>
      <c r="N21" s="317"/>
      <c r="O21" s="317"/>
      <c r="P21" s="300">
        <f t="shared" si="6"/>
        <v>0</v>
      </c>
      <c r="Q21" s="342"/>
      <c r="R21" s="306" t="s">
        <v>239</v>
      </c>
      <c r="S21" s="321"/>
      <c r="T21" s="308"/>
      <c r="U21" s="317"/>
      <c r="V21" s="300">
        <f t="shared" si="7"/>
        <v>0</v>
      </c>
      <c r="X21" s="648" t="s">
        <v>258</v>
      </c>
      <c r="Y21" s="648"/>
      <c r="Z21" s="318"/>
      <c r="AA21" s="318"/>
    </row>
    <row r="22" spans="2:27" ht="15" customHeight="1">
      <c r="B22" s="306" t="s">
        <v>241</v>
      </c>
      <c r="C22" s="306"/>
      <c r="D22" s="308"/>
      <c r="E22" s="353"/>
      <c r="F22" s="327"/>
      <c r="G22" s="327"/>
      <c r="H22" s="327"/>
      <c r="I22" s="327"/>
      <c r="J22" s="300">
        <f t="shared" si="5"/>
        <v>0</v>
      </c>
      <c r="K22" s="341"/>
      <c r="L22" s="306" t="s">
        <v>241</v>
      </c>
      <c r="M22" s="306"/>
      <c r="N22" s="308"/>
      <c r="O22" s="327"/>
      <c r="P22" s="300">
        <f t="shared" si="6"/>
        <v>0</v>
      </c>
      <c r="Q22" s="342"/>
      <c r="R22" s="306" t="s">
        <v>241</v>
      </c>
      <c r="S22" s="306"/>
      <c r="T22" s="308"/>
      <c r="U22" s="327"/>
      <c r="V22" s="300">
        <f t="shared" si="7"/>
        <v>0</v>
      </c>
      <c r="X22" s="648" t="s">
        <v>259</v>
      </c>
      <c r="Y22" s="648"/>
      <c r="Z22" s="323"/>
      <c r="AA22" s="323"/>
    </row>
    <row r="23" spans="2:27" ht="15" customHeight="1">
      <c r="B23" s="306" t="s">
        <v>243</v>
      </c>
      <c r="C23" s="306"/>
      <c r="D23" s="308"/>
      <c r="E23" s="353"/>
      <c r="F23" s="327"/>
      <c r="G23" s="327"/>
      <c r="H23" s="327"/>
      <c r="I23" s="327"/>
      <c r="J23" s="300">
        <f t="shared" si="5"/>
        <v>0</v>
      </c>
      <c r="K23" s="341"/>
      <c r="L23" s="306" t="s">
        <v>243</v>
      </c>
      <c r="M23" s="306"/>
      <c r="N23" s="308"/>
      <c r="O23" s="327"/>
      <c r="P23" s="300">
        <f t="shared" si="6"/>
        <v>0</v>
      </c>
      <c r="Q23" s="342"/>
      <c r="R23" s="306" t="s">
        <v>243</v>
      </c>
      <c r="S23" s="306"/>
      <c r="T23" s="308"/>
      <c r="U23" s="327"/>
      <c r="V23" s="300">
        <f t="shared" si="7"/>
        <v>0</v>
      </c>
      <c r="X23" s="649" t="s">
        <v>260</v>
      </c>
      <c r="Y23" s="649"/>
      <c r="Z23" s="304">
        <f>SUM(Z24:Z25)</f>
        <v>0</v>
      </c>
      <c r="AA23" s="304">
        <f>SUM(AA24:AA25)</f>
        <v>0</v>
      </c>
    </row>
    <row r="24" spans="2:27" ht="15" customHeight="1">
      <c r="B24" s="306" t="s">
        <v>245</v>
      </c>
      <c r="C24" s="306"/>
      <c r="D24" s="308"/>
      <c r="E24" s="353"/>
      <c r="F24" s="327"/>
      <c r="G24" s="327"/>
      <c r="H24" s="327"/>
      <c r="I24" s="327"/>
      <c r="J24" s="300">
        <f t="shared" si="5"/>
        <v>0</v>
      </c>
      <c r="K24" s="341"/>
      <c r="L24" s="306" t="s">
        <v>245</v>
      </c>
      <c r="M24" s="306"/>
      <c r="N24" s="308"/>
      <c r="O24" s="327"/>
      <c r="P24" s="300">
        <f t="shared" si="6"/>
        <v>0</v>
      </c>
      <c r="Q24" s="342"/>
      <c r="R24" s="306" t="s">
        <v>245</v>
      </c>
      <c r="S24" s="306"/>
      <c r="T24" s="308"/>
      <c r="U24" s="327"/>
      <c r="V24" s="300">
        <f t="shared" si="7"/>
        <v>0</v>
      </c>
      <c r="X24" s="648" t="s">
        <v>261</v>
      </c>
      <c r="Y24" s="648"/>
      <c r="Z24" s="318"/>
      <c r="AA24" s="318"/>
    </row>
    <row r="25" spans="2:27" ht="15" customHeight="1">
      <c r="B25" s="328" t="str">
        <f>CONCATENATE("Салдо към 31.12.",НАЧАЛО!AC1-1)</f>
        <v>Салдо към 31.12.2009</v>
      </c>
      <c r="C25" s="304">
        <f>SUM(C19:C24)</f>
        <v>0</v>
      </c>
      <c r="D25" s="304">
        <f aca="true" t="shared" si="8" ref="D25:I25">SUM(D19:D24)</f>
        <v>-306</v>
      </c>
      <c r="E25" s="304">
        <f t="shared" si="8"/>
        <v>-428</v>
      </c>
      <c r="F25" s="304">
        <f t="shared" si="8"/>
        <v>-402</v>
      </c>
      <c r="G25" s="304">
        <f t="shared" si="8"/>
        <v>-484</v>
      </c>
      <c r="H25" s="304">
        <f t="shared" si="8"/>
        <v>-125</v>
      </c>
      <c r="I25" s="304">
        <f t="shared" si="8"/>
        <v>0</v>
      </c>
      <c r="J25" s="304">
        <f>SUM(J19:J24)</f>
        <v>-1745</v>
      </c>
      <c r="K25" s="341"/>
      <c r="L25" s="328" t="str">
        <f>B25</f>
        <v>Салдо към 31.12.2009</v>
      </c>
      <c r="M25" s="304">
        <f>SUM(M19:M24)</f>
        <v>0</v>
      </c>
      <c r="N25" s="304">
        <f>SUM(N19:N24)</f>
        <v>-7</v>
      </c>
      <c r="O25" s="304">
        <f>SUM(O19:O24)</f>
        <v>-4</v>
      </c>
      <c r="P25" s="304">
        <f>SUM(P19:P24)</f>
        <v>-11</v>
      </c>
      <c r="Q25" s="342"/>
      <c r="R25" s="328" t="str">
        <f>B25</f>
        <v>Салдо към 31.12.2009</v>
      </c>
      <c r="S25" s="304">
        <f>SUM(S19:S24)</f>
        <v>0</v>
      </c>
      <c r="T25" s="304">
        <f>SUM(T19:T24)</f>
        <v>0</v>
      </c>
      <c r="U25" s="304">
        <f>SUM(U19:U24)</f>
        <v>0</v>
      </c>
      <c r="V25" s="304">
        <f>SUM(V19:V24)</f>
        <v>0</v>
      </c>
      <c r="X25" s="650" t="s">
        <v>262</v>
      </c>
      <c r="Y25" s="650"/>
      <c r="Z25" s="323"/>
      <c r="AA25" s="323"/>
    </row>
    <row r="26" spans="2:27" ht="15" customHeight="1">
      <c r="B26" s="306" t="s">
        <v>238</v>
      </c>
      <c r="C26" s="321"/>
      <c r="D26" s="319">
        <v>-29</v>
      </c>
      <c r="E26" s="319">
        <v>-31</v>
      </c>
      <c r="F26" s="319">
        <v>-210</v>
      </c>
      <c r="G26" s="319">
        <v>-151</v>
      </c>
      <c r="H26" s="319">
        <v>-26</v>
      </c>
      <c r="I26" s="319"/>
      <c r="J26" s="300">
        <f>SUM(C26:I26)</f>
        <v>-447</v>
      </c>
      <c r="K26" s="341"/>
      <c r="L26" s="306" t="s">
        <v>238</v>
      </c>
      <c r="M26" s="300"/>
      <c r="N26" s="300"/>
      <c r="O26" s="300">
        <v>-2</v>
      </c>
      <c r="P26" s="300">
        <f>SUM(M26:O26)</f>
        <v>-2</v>
      </c>
      <c r="Q26" s="342"/>
      <c r="R26" s="306" t="s">
        <v>238</v>
      </c>
      <c r="S26" s="321"/>
      <c r="T26" s="308"/>
      <c r="U26" s="317"/>
      <c r="V26" s="300">
        <f>SUM(S26:U26)</f>
        <v>0</v>
      </c>
      <c r="X26" s="647" t="s">
        <v>231</v>
      </c>
      <c r="Y26" s="647"/>
      <c r="Z26" s="354">
        <f>Z5+Z8+Z11+Z14+Z17+Z20+Z23</f>
        <v>0</v>
      </c>
      <c r="AA26" s="354">
        <f>AA5+AA8+AA11+AA14+AA17+AA20+AA23</f>
        <v>0</v>
      </c>
    </row>
    <row r="27" spans="2:27" ht="15" customHeight="1">
      <c r="B27" s="306" t="s">
        <v>239</v>
      </c>
      <c r="C27" s="321"/>
      <c r="D27" s="308"/>
      <c r="E27" s="353"/>
      <c r="F27" s="327">
        <v>1</v>
      </c>
      <c r="G27" s="317">
        <v>2</v>
      </c>
      <c r="H27" s="317"/>
      <c r="I27" s="317"/>
      <c r="J27" s="300">
        <f>SUM(C27:I27)</f>
        <v>3</v>
      </c>
      <c r="K27" s="341"/>
      <c r="L27" s="306" t="s">
        <v>239</v>
      </c>
      <c r="M27" s="300"/>
      <c r="N27" s="300"/>
      <c r="O27" s="300"/>
      <c r="P27" s="300">
        <f>SUM(M27:O27)</f>
        <v>0</v>
      </c>
      <c r="Q27" s="355"/>
      <c r="R27" s="306" t="s">
        <v>239</v>
      </c>
      <c r="S27" s="321"/>
      <c r="T27" s="308"/>
      <c r="U27" s="317"/>
      <c r="V27" s="300">
        <f>SUM(S27:U27)</f>
        <v>0</v>
      </c>
      <c r="X27" s="356"/>
      <c r="Y27" s="356"/>
      <c r="Z27" s="356"/>
      <c r="AA27" s="356"/>
    </row>
    <row r="28" spans="2:27" ht="15" customHeight="1">
      <c r="B28" s="306" t="s">
        <v>241</v>
      </c>
      <c r="C28" s="335"/>
      <c r="D28" s="308"/>
      <c r="E28" s="308"/>
      <c r="F28" s="317"/>
      <c r="G28" s="337"/>
      <c r="H28" s="337"/>
      <c r="I28" s="337"/>
      <c r="J28" s="300">
        <f>SUM(C28:I28)</f>
        <v>0</v>
      </c>
      <c r="K28" s="341"/>
      <c r="L28" s="306" t="s">
        <v>241</v>
      </c>
      <c r="M28" s="300"/>
      <c r="N28" s="300"/>
      <c r="O28" s="300"/>
      <c r="P28" s="300">
        <f>SUM(M28:O28)</f>
        <v>0</v>
      </c>
      <c r="Q28" s="355"/>
      <c r="R28" s="306" t="s">
        <v>241</v>
      </c>
      <c r="S28" s="335"/>
      <c r="T28" s="336"/>
      <c r="U28" s="337"/>
      <c r="V28" s="300">
        <f>SUM(S28:U28)</f>
        <v>0</v>
      </c>
      <c r="X28" s="356"/>
      <c r="Y28" s="356"/>
      <c r="Z28" s="356"/>
      <c r="AA28" s="356"/>
    </row>
    <row r="29" spans="2:27" ht="15" customHeight="1">
      <c r="B29" s="306" t="s">
        <v>243</v>
      </c>
      <c r="C29" s="335"/>
      <c r="D29" s="308"/>
      <c r="E29" s="308"/>
      <c r="F29" s="317"/>
      <c r="G29" s="337"/>
      <c r="H29" s="337"/>
      <c r="I29" s="337"/>
      <c r="J29" s="300">
        <f>SUM(C29:I29)</f>
        <v>0</v>
      </c>
      <c r="K29" s="341"/>
      <c r="L29" s="306" t="s">
        <v>243</v>
      </c>
      <c r="M29" s="300"/>
      <c r="N29" s="300"/>
      <c r="O29" s="300"/>
      <c r="P29" s="300">
        <f>SUM(M29:O29)</f>
        <v>0</v>
      </c>
      <c r="Q29" s="355"/>
      <c r="R29" s="306" t="s">
        <v>243</v>
      </c>
      <c r="S29" s="335"/>
      <c r="T29" s="336"/>
      <c r="U29" s="337"/>
      <c r="V29" s="300">
        <f>SUM(S29:U29)</f>
        <v>0</v>
      </c>
      <c r="X29" s="356"/>
      <c r="Y29" s="356"/>
      <c r="Z29" s="356"/>
      <c r="AA29" s="356"/>
    </row>
    <row r="30" spans="2:27" ht="15" customHeight="1">
      <c r="B30" s="306" t="s">
        <v>245</v>
      </c>
      <c r="C30" s="335"/>
      <c r="D30" s="308"/>
      <c r="E30" s="308"/>
      <c r="F30" s="317"/>
      <c r="G30" s="337"/>
      <c r="H30" s="337"/>
      <c r="I30" s="337"/>
      <c r="J30" s="300">
        <f>SUM(C30:I30)</f>
        <v>0</v>
      </c>
      <c r="K30" s="341"/>
      <c r="L30" s="306" t="s">
        <v>245</v>
      </c>
      <c r="M30" s="335"/>
      <c r="N30" s="336"/>
      <c r="O30" s="337"/>
      <c r="P30" s="300">
        <f>SUM(M30:O30)</f>
        <v>0</v>
      </c>
      <c r="Q30" s="355"/>
      <c r="R30" s="306" t="s">
        <v>245</v>
      </c>
      <c r="S30" s="335"/>
      <c r="T30" s="336"/>
      <c r="U30" s="337"/>
      <c r="V30" s="300">
        <f>SUM(S30:U30)</f>
        <v>0</v>
      </c>
      <c r="X30" s="356"/>
      <c r="Y30" s="356"/>
      <c r="Z30" s="356"/>
      <c r="AA30" s="356"/>
    </row>
    <row r="31" spans="2:27" s="357" customFormat="1" ht="15" customHeight="1">
      <c r="B31" s="358" t="str">
        <f>CONCATENATE("Салдо към ",НАЧАЛО!AA1,".",НАЧАЛО!AB1,".",НАЧАЛО!AC1)</f>
        <v>Салдо към 30.9.2010</v>
      </c>
      <c r="C31" s="359">
        <f>SUM(C25:C30)</f>
        <v>0</v>
      </c>
      <c r="D31" s="359">
        <f>SUM(D25:D30)</f>
        <v>-335</v>
      </c>
      <c r="E31" s="359">
        <f aca="true" t="shared" si="9" ref="E31:J31">SUM(E25:E30)</f>
        <v>-459</v>
      </c>
      <c r="F31" s="359">
        <f t="shared" si="9"/>
        <v>-611</v>
      </c>
      <c r="G31" s="359">
        <f t="shared" si="9"/>
        <v>-633</v>
      </c>
      <c r="H31" s="359">
        <f t="shared" si="9"/>
        <v>-151</v>
      </c>
      <c r="I31" s="359">
        <f t="shared" si="9"/>
        <v>0</v>
      </c>
      <c r="J31" s="359">
        <f t="shared" si="9"/>
        <v>-2189</v>
      </c>
      <c r="K31" s="341"/>
      <c r="L31" s="358" t="str">
        <f>B31</f>
        <v>Салдо към 30.9.2010</v>
      </c>
      <c r="M31" s="359">
        <f>SUM(M25:M30)</f>
        <v>0</v>
      </c>
      <c r="N31" s="359">
        <f>SUM(N25:N30)</f>
        <v>-7</v>
      </c>
      <c r="O31" s="359">
        <f>SUM(O25:O30)</f>
        <v>-6</v>
      </c>
      <c r="P31" s="359">
        <f>SUM(P25:P30)</f>
        <v>-13</v>
      </c>
      <c r="Q31" s="355"/>
      <c r="R31" s="358" t="str">
        <f>B31</f>
        <v>Салдо към 30.9.2010</v>
      </c>
      <c r="S31" s="359">
        <f>SUM(S25:S30)</f>
        <v>0</v>
      </c>
      <c r="T31" s="359">
        <f>SUM(T25:T30)</f>
        <v>0</v>
      </c>
      <c r="U31" s="359">
        <f>SUM(U25:U30)</f>
        <v>0</v>
      </c>
      <c r="V31" s="359">
        <f>SUM(V25:V30)</f>
        <v>0</v>
      </c>
      <c r="X31" s="356"/>
      <c r="Y31" s="356"/>
      <c r="Z31" s="356"/>
      <c r="AA31" s="356"/>
    </row>
    <row r="32" spans="2:27" ht="15" customHeight="1">
      <c r="B32" s="285" t="s">
        <v>263</v>
      </c>
      <c r="C32" s="360"/>
      <c r="D32" s="343"/>
      <c r="E32" s="343"/>
      <c r="F32" s="361"/>
      <c r="G32" s="361"/>
      <c r="H32" s="361"/>
      <c r="I32" s="361"/>
      <c r="J32" s="361"/>
      <c r="K32" s="362"/>
      <c r="L32" s="285" t="s">
        <v>263</v>
      </c>
      <c r="M32" s="360"/>
      <c r="N32" s="343"/>
      <c r="O32" s="361"/>
      <c r="P32" s="361"/>
      <c r="R32" s="285" t="s">
        <v>263</v>
      </c>
      <c r="S32" s="360"/>
      <c r="T32" s="343"/>
      <c r="U32" s="361"/>
      <c r="V32" s="361"/>
      <c r="X32" s="356"/>
      <c r="Y32" s="356"/>
      <c r="Z32" s="356"/>
      <c r="AA32" s="356"/>
    </row>
    <row r="33" spans="2:27" ht="23.25" customHeight="1">
      <c r="B33" s="363" t="str">
        <f>CONCATENATE("Балансова стойност към 31.12.",НАЧАЛО!AC1-1)</f>
        <v>Балансова стойност към 31.12.2009</v>
      </c>
      <c r="C33" s="349">
        <f>C11+C25</f>
        <v>0</v>
      </c>
      <c r="D33" s="349">
        <f aca="true" t="shared" si="10" ref="D33:I33">D11-D25</f>
        <v>4900</v>
      </c>
      <c r="E33" s="349">
        <f t="shared" si="10"/>
        <v>1221</v>
      </c>
      <c r="F33" s="349">
        <f t="shared" si="10"/>
        <v>1167</v>
      </c>
      <c r="G33" s="349">
        <f t="shared" si="10"/>
        <v>1245</v>
      </c>
      <c r="H33" s="349">
        <f t="shared" si="10"/>
        <v>324</v>
      </c>
      <c r="I33" s="349">
        <f t="shared" si="10"/>
        <v>0</v>
      </c>
      <c r="J33" s="349">
        <f>J11+J25</f>
        <v>5367</v>
      </c>
      <c r="K33" s="341"/>
      <c r="L33" s="363" t="str">
        <f>B33</f>
        <v>Балансова стойност към 31.12.2009</v>
      </c>
      <c r="M33" s="349">
        <f>M11+M25</f>
        <v>0</v>
      </c>
      <c r="N33" s="349">
        <f>N11+N25</f>
        <v>0</v>
      </c>
      <c r="O33" s="349">
        <f>O11+O25</f>
        <v>12</v>
      </c>
      <c r="P33" s="349">
        <f>P11+P25</f>
        <v>12</v>
      </c>
      <c r="Q33" s="342"/>
      <c r="R33" s="363" t="str">
        <f>B33</f>
        <v>Балансова стойност към 31.12.2009</v>
      </c>
      <c r="S33" s="349">
        <f>S11+S25</f>
        <v>0</v>
      </c>
      <c r="T33" s="349">
        <f>T11+T25</f>
        <v>0</v>
      </c>
      <c r="U33" s="349">
        <f>U11-U25</f>
        <v>0</v>
      </c>
      <c r="V33" s="349">
        <f>V11+V25</f>
        <v>0</v>
      </c>
      <c r="X33" s="356"/>
      <c r="Y33" s="356"/>
      <c r="Z33" s="356"/>
      <c r="AA33" s="356"/>
    </row>
    <row r="34" spans="2:27" ht="23.25" customHeight="1">
      <c r="B34" s="364" t="str">
        <f>CONCATENATE("Балансова стойност към ",НАЧАЛО!AA1,".",НАЧАЛО!AB1,".",НАЧАЛО!AC1)</f>
        <v>Балансова стойност към 30.9.2010</v>
      </c>
      <c r="C34" s="365">
        <f>C17+C31</f>
        <v>0</v>
      </c>
      <c r="D34" s="365">
        <f aca="true" t="shared" si="11" ref="D34:I34">D17-D31</f>
        <v>4929</v>
      </c>
      <c r="E34" s="365">
        <f t="shared" si="11"/>
        <v>1252</v>
      </c>
      <c r="F34" s="365">
        <f t="shared" si="11"/>
        <v>2240</v>
      </c>
      <c r="G34" s="365">
        <f t="shared" si="11"/>
        <v>1712</v>
      </c>
      <c r="H34" s="365">
        <f t="shared" si="11"/>
        <v>360</v>
      </c>
      <c r="I34" s="365">
        <f t="shared" si="11"/>
        <v>0</v>
      </c>
      <c r="J34" s="365">
        <f>J17+J31</f>
        <v>6115</v>
      </c>
      <c r="K34" s="341"/>
      <c r="L34" s="364" t="str">
        <f>B34</f>
        <v>Балансова стойност към 30.9.2010</v>
      </c>
      <c r="M34" s="365">
        <f>M17+M31</f>
        <v>0</v>
      </c>
      <c r="N34" s="365">
        <f>N17+N31</f>
        <v>0</v>
      </c>
      <c r="O34" s="365">
        <f>O17+O31</f>
        <v>10</v>
      </c>
      <c r="P34" s="365">
        <f>P17+P31</f>
        <v>10</v>
      </c>
      <c r="Q34" s="342"/>
      <c r="R34" s="364" t="str">
        <f>B34</f>
        <v>Балансова стойност към 30.9.2010</v>
      </c>
      <c r="S34" s="365">
        <f>S17-S31</f>
        <v>0</v>
      </c>
      <c r="T34" s="365">
        <f>T17+T31</f>
        <v>0</v>
      </c>
      <c r="U34" s="365">
        <f>U17-U31</f>
        <v>0</v>
      </c>
      <c r="V34" s="365">
        <f>V17+V31</f>
        <v>0</v>
      </c>
      <c r="X34" s="356"/>
      <c r="Y34" s="356"/>
      <c r="Z34" s="356"/>
      <c r="AA34" s="356"/>
    </row>
    <row r="35" spans="2:27" ht="15">
      <c r="B35" s="366"/>
      <c r="C35" s="366"/>
      <c r="F35" s="367"/>
      <c r="G35" s="368"/>
      <c r="H35" s="368"/>
      <c r="I35" s="368"/>
      <c r="J35" s="341"/>
      <c r="K35" s="341"/>
      <c r="L35" s="368"/>
      <c r="M35" s="368"/>
      <c r="N35" s="368"/>
      <c r="O35" s="368"/>
      <c r="P35" s="341"/>
      <c r="Q35" s="342"/>
      <c r="R35" s="342"/>
      <c r="X35" s="356"/>
      <c r="Y35" s="356"/>
      <c r="Z35" s="356"/>
      <c r="AA35" s="356"/>
    </row>
    <row r="36" spans="2:27" ht="15">
      <c r="B36" s="366"/>
      <c r="C36" s="366"/>
      <c r="F36" s="367"/>
      <c r="G36" s="368"/>
      <c r="H36" s="368"/>
      <c r="I36" s="368"/>
      <c r="J36" s="341"/>
      <c r="K36" s="341"/>
      <c r="L36" s="368"/>
      <c r="M36" s="368"/>
      <c r="N36" s="368"/>
      <c r="O36" s="368"/>
      <c r="P36" s="341"/>
      <c r="Q36" s="342"/>
      <c r="R36" s="342"/>
      <c r="X36" s="356"/>
      <c r="Y36" s="356"/>
      <c r="Z36" s="356"/>
      <c r="AA36" s="356"/>
    </row>
    <row r="37" spans="2:27" ht="15">
      <c r="B37" s="366"/>
      <c r="C37" s="366"/>
      <c r="F37" s="367"/>
      <c r="G37" s="368"/>
      <c r="H37" s="368"/>
      <c r="I37" s="368"/>
      <c r="J37" s="341"/>
      <c r="K37" s="341"/>
      <c r="L37" s="368"/>
      <c r="M37" s="368"/>
      <c r="N37" s="368"/>
      <c r="O37" s="368"/>
      <c r="P37" s="341"/>
      <c r="Q37" s="342"/>
      <c r="R37" s="342"/>
      <c r="X37" s="356"/>
      <c r="Y37" s="356"/>
      <c r="Z37" s="356"/>
      <c r="AA37" s="356"/>
    </row>
    <row r="38" spans="2:28" ht="15" customHeight="1">
      <c r="B38" s="369"/>
      <c r="C38" s="645">
        <f>IF(J38="","","Разлика в ДМА между СПРАВКАТА и БАЛАНСА, в предходния период!")</f>
      </c>
      <c r="D38" s="645"/>
      <c r="E38" s="645"/>
      <c r="F38" s="645"/>
      <c r="G38" s="645"/>
      <c r="H38" s="645"/>
      <c r="I38" s="645"/>
      <c r="J38" s="370"/>
      <c r="K38" s="341"/>
      <c r="L38" s="643" t="str">
        <f>IF(P38="","","Разлика в ДНА между СПРАВКАТА и БАЛАНСА, в предходния период!")</f>
        <v>Разлика в ДНА между СПРАВКАТА и БАЛАНСА, в предходния период!</v>
      </c>
      <c r="M38" s="643"/>
      <c r="N38" s="643"/>
      <c r="O38" s="643"/>
      <c r="P38" s="640">
        <f>IF(P$33=баланс!G$13,"",P33-баланс!G$13)</f>
        <v>3</v>
      </c>
      <c r="Q38" s="355"/>
      <c r="R38" s="643">
        <f>IF(V38="","","Разлика в ДНА между СПРАВКАТА и БАЛАНСА, в предходния период!")</f>
      </c>
      <c r="S38" s="643"/>
      <c r="T38" s="643"/>
      <c r="U38" s="643"/>
      <c r="V38" s="640">
        <f>IF(V$33=баланс!G$11,"",V33-баланс!G$11)</f>
      </c>
      <c r="X38" s="641">
        <f>IF(AB38="","","Разлика в активите държани за продажба между СПРАВКАТА и БАЛАНСА, в предходния период!")</f>
      </c>
      <c r="Y38" s="641"/>
      <c r="Z38" s="641"/>
      <c r="AA38" s="641"/>
      <c r="AB38" s="640">
        <f>IF(AA$26=баланс!G$27,"",AA$26-баланс!G$27)</f>
      </c>
    </row>
    <row r="39" spans="2:28" s="357" customFormat="1" ht="15">
      <c r="B39" s="369"/>
      <c r="C39" s="644"/>
      <c r="D39" s="644"/>
      <c r="E39" s="644"/>
      <c r="F39" s="644"/>
      <c r="G39" s="644"/>
      <c r="H39" s="642">
        <f>IF(J38="","","Сума по баланс:")</f>
      </c>
      <c r="I39" s="642"/>
      <c r="J39" s="371"/>
      <c r="K39" s="341"/>
      <c r="L39" s="643"/>
      <c r="M39" s="643"/>
      <c r="N39" s="643"/>
      <c r="O39" s="643"/>
      <c r="P39" s="640"/>
      <c r="Q39" s="355"/>
      <c r="R39" s="643"/>
      <c r="S39" s="643"/>
      <c r="T39" s="643"/>
      <c r="U39" s="643"/>
      <c r="V39" s="640"/>
      <c r="X39" s="641"/>
      <c r="Y39" s="641"/>
      <c r="Z39" s="641"/>
      <c r="AA39" s="641"/>
      <c r="AB39" s="640"/>
    </row>
    <row r="40" spans="2:68" ht="15">
      <c r="B40" s="369"/>
      <c r="C40" s="645" t="str">
        <f>IF(J40="","","Разлика в ДМА между СПРАВКАТА и БАЛАНСА, в текущия период!")</f>
        <v>Разлика в ДМА между СПРАВКАТА и БАЛАНСА, в текущия период!</v>
      </c>
      <c r="D40" s="645"/>
      <c r="E40" s="645"/>
      <c r="F40" s="645"/>
      <c r="G40" s="645"/>
      <c r="H40" s="645"/>
      <c r="I40" s="645"/>
      <c r="J40" s="370">
        <f>IF(J$34=баланс!E$9,"",J34-баланс!E$9)</f>
        <v>-627</v>
      </c>
      <c r="K40" s="341"/>
      <c r="L40" s="646"/>
      <c r="M40" s="646"/>
      <c r="N40" s="642" t="str">
        <f>IF(P38="","","Сума по баланс:")</f>
        <v>Сума по баланс:</v>
      </c>
      <c r="O40" s="642"/>
      <c r="P40" s="371">
        <f>IF(P$33=баланс!G$13,"",баланс!G$13)</f>
        <v>9</v>
      </c>
      <c r="Q40" s="342"/>
      <c r="R40" s="646"/>
      <c r="S40" s="646"/>
      <c r="T40" s="642">
        <f>IF(V38="","","Сума по баланс:")</f>
      </c>
      <c r="U40" s="642"/>
      <c r="V40" s="371">
        <f>IF(V$33=баланс!G$11,"",баланс!G$11)</f>
      </c>
      <c r="W40" s="342"/>
      <c r="X40" s="372"/>
      <c r="Y40" s="372"/>
      <c r="Z40" s="642">
        <f>IF(AB38="","","Сума по баланс:")</f>
      </c>
      <c r="AA40" s="642"/>
      <c r="AB40" s="371">
        <f>IF(AA$26=баланс!G$27,"",баланс!G$27)</f>
      </c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42"/>
      <c r="BG40" s="342"/>
      <c r="BH40" s="342"/>
      <c r="BI40" s="342"/>
      <c r="BJ40" s="342"/>
      <c r="BK40" s="342"/>
      <c r="BL40" s="342"/>
      <c r="BM40" s="342"/>
      <c r="BN40" s="342"/>
      <c r="BO40" s="342"/>
      <c r="BP40" s="342"/>
    </row>
    <row r="41" spans="2:68" ht="15">
      <c r="B41" s="369"/>
      <c r="C41" s="373"/>
      <c r="D41" s="374"/>
      <c r="E41" s="374"/>
      <c r="F41" s="375"/>
      <c r="G41" s="376"/>
      <c r="H41" s="642" t="str">
        <f>IF(J40="","","Сума по баланс:")</f>
        <v>Сума по баланс:</v>
      </c>
      <c r="I41" s="642"/>
      <c r="J41" s="371">
        <f>IF(J$34=баланс!E$9,"",баланс!E$9)</f>
        <v>6742</v>
      </c>
      <c r="K41" s="377"/>
      <c r="L41" s="643">
        <f>IF(P41="","","Разлика в ДНА между СПРАВКАТА и БАЛАНСА, в текущия период!")</f>
      </c>
      <c r="M41" s="643"/>
      <c r="N41" s="643"/>
      <c r="O41" s="643"/>
      <c r="P41" s="640">
        <f>IF(P$34=баланс!E$13,"",P34-баланс!E$13)</f>
      </c>
      <c r="Q41" s="342"/>
      <c r="R41" s="643">
        <f>IF(V41="","","Разлика в ДНА между СПРАВКАТА и БАЛАНСА, в текущия период!")</f>
      </c>
      <c r="S41" s="643"/>
      <c r="T41" s="643"/>
      <c r="U41" s="643"/>
      <c r="V41" s="640">
        <f>IF(V$34=баланс!E$11,"",V34-баланс!E$11)</f>
      </c>
      <c r="W41" s="342"/>
      <c r="X41" s="641">
        <f>IF(AB41="","","Разлика в активите държани за продажба между СПРАВКАТА и БАЛАНСА, в текущия период!")</f>
      </c>
      <c r="Y41" s="641"/>
      <c r="Z41" s="641"/>
      <c r="AA41" s="641"/>
      <c r="AB41" s="640">
        <f>IF(Z$26=баланс!E$27,"",Z$26-баланс!E$27)</f>
      </c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</row>
    <row r="42" spans="2:68" ht="15">
      <c r="B42" s="369"/>
      <c r="C42" s="369"/>
      <c r="F42" s="367"/>
      <c r="G42" s="378"/>
      <c r="H42" s="378"/>
      <c r="I42" s="378"/>
      <c r="J42" s="341"/>
      <c r="K42" s="341"/>
      <c r="L42" s="643"/>
      <c r="M42" s="643"/>
      <c r="N42" s="643"/>
      <c r="O42" s="643"/>
      <c r="P42" s="640"/>
      <c r="Q42" s="342"/>
      <c r="R42" s="643"/>
      <c r="S42" s="643"/>
      <c r="T42" s="643"/>
      <c r="U42" s="643"/>
      <c r="V42" s="640"/>
      <c r="W42" s="342"/>
      <c r="X42" s="641"/>
      <c r="Y42" s="641"/>
      <c r="Z42" s="641"/>
      <c r="AA42" s="641"/>
      <c r="AB42" s="640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2"/>
      <c r="BC42" s="342"/>
      <c r="BD42" s="342"/>
      <c r="BE42" s="342"/>
      <c r="BF42" s="342"/>
      <c r="BG42" s="342"/>
      <c r="BH42" s="342"/>
      <c r="BI42" s="342"/>
      <c r="BJ42" s="342"/>
      <c r="BK42" s="342"/>
      <c r="BL42" s="342"/>
      <c r="BM42" s="342"/>
      <c r="BN42" s="342"/>
      <c r="BO42" s="342"/>
      <c r="BP42" s="342"/>
    </row>
    <row r="43" spans="2:68" ht="15">
      <c r="B43" s="639" t="str">
        <f>IF(J43="","","Разлика в разходите за амортизации между СПРАВКАТА и ОПР в предходния период!")</f>
        <v>Разлика в разходите за амортизации между СПРАВКАТА и ОПР в предходния период!</v>
      </c>
      <c r="C43" s="639"/>
      <c r="D43" s="639"/>
      <c r="E43" s="639"/>
      <c r="F43" s="639"/>
      <c r="G43" s="639"/>
      <c r="H43" s="639"/>
      <c r="I43" s="639"/>
      <c r="J43" s="370">
        <f>IF(J20+P20+V20=ОПР!G24,"",J20+P20+V20-ОПР!G24)</f>
        <v>193</v>
      </c>
      <c r="K43" s="341"/>
      <c r="L43" s="379"/>
      <c r="M43" s="379"/>
      <c r="N43" s="642">
        <f>IF(P41="","","Сума по баланс:")</f>
      </c>
      <c r="O43" s="642"/>
      <c r="P43" s="371">
        <f>IF(P$34=баланс!E$13,"",баланс!E13)</f>
      </c>
      <c r="Q43" s="342"/>
      <c r="R43" s="379"/>
      <c r="S43" s="379"/>
      <c r="T43" s="642">
        <f>IF(V41="","","Сума по баланс:")</f>
      </c>
      <c r="U43" s="642"/>
      <c r="V43" s="371">
        <f>IF(V$34=баланс!E$11,"",баланс!E11)</f>
      </c>
      <c r="W43" s="342"/>
      <c r="X43" s="380"/>
      <c r="Y43" s="380"/>
      <c r="Z43" s="642">
        <f>IF(AB41="","","Сума по баланс:")</f>
      </c>
      <c r="AA43" s="642"/>
      <c r="AB43" s="371">
        <f>IF(Z$26=баланс!E$27,"",баланс!E$27)</f>
      </c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</row>
    <row r="44" spans="2:68" ht="15">
      <c r="B44" s="639" t="str">
        <f>IF($J43="","","Общо разходи за амортизации на всички активи в спраката, за предходния период:")</f>
        <v>Общо разходи за амортизации на всички активи в спраката, за предходния период:</v>
      </c>
      <c r="C44" s="639"/>
      <c r="D44" s="639"/>
      <c r="E44" s="639"/>
      <c r="F44" s="639"/>
      <c r="G44" s="639"/>
      <c r="H44" s="639"/>
      <c r="I44" s="639"/>
      <c r="J44" s="370">
        <f>IF($J43="","",J20+P20+V20)</f>
        <v>-336</v>
      </c>
      <c r="K44" s="341"/>
      <c r="L44" s="368"/>
      <c r="M44" s="368"/>
      <c r="N44" s="368"/>
      <c r="O44" s="368"/>
      <c r="P44" s="341"/>
      <c r="Q44" s="342"/>
      <c r="R44" s="342"/>
      <c r="S44" s="342"/>
      <c r="T44" s="342"/>
      <c r="U44" s="342"/>
      <c r="V44" s="342"/>
      <c r="W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</row>
    <row r="45" spans="2:68" ht="13.5" customHeight="1">
      <c r="B45" s="638" t="str">
        <f>IF(J43="","","Разходи за амортизации в ОПР за предходния период:")</f>
        <v>Разходи за амортизации в ОПР за предходния период:</v>
      </c>
      <c r="C45" s="638"/>
      <c r="D45" s="638"/>
      <c r="E45" s="638"/>
      <c r="F45" s="638"/>
      <c r="G45" s="638"/>
      <c r="H45" s="638"/>
      <c r="I45" s="638"/>
      <c r="J45" s="371">
        <f>IF($J43="","",ОПР!G24)</f>
        <v>-529</v>
      </c>
      <c r="K45" s="341"/>
      <c r="L45" s="368"/>
      <c r="M45" s="368"/>
      <c r="N45" s="368"/>
      <c r="O45" s="368"/>
      <c r="P45" s="341"/>
      <c r="Q45" s="342"/>
      <c r="R45" s="342"/>
      <c r="S45" s="342"/>
      <c r="T45" s="342"/>
      <c r="U45" s="342"/>
      <c r="V45" s="342"/>
      <c r="W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2"/>
      <c r="BG45" s="342"/>
      <c r="BH45" s="342"/>
      <c r="BI45" s="342"/>
      <c r="BJ45" s="342"/>
      <c r="BK45" s="342"/>
      <c r="BL45" s="342"/>
      <c r="BM45" s="342"/>
      <c r="BN45" s="342"/>
      <c r="BO45" s="342"/>
      <c r="BP45" s="342"/>
    </row>
    <row r="46" spans="2:68" ht="15">
      <c r="B46" s="639" t="str">
        <f>IF(J46="","","Разлика в разходите за амортизации между СПРАВКАТА и ОПР в текущия период период!")</f>
        <v>Разлика в разходите за амортизации между СПРАВКАТА и ОПР в текущия период период!</v>
      </c>
      <c r="C46" s="639"/>
      <c r="D46" s="639"/>
      <c r="E46" s="639"/>
      <c r="F46" s="639"/>
      <c r="G46" s="639"/>
      <c r="H46" s="639"/>
      <c r="I46" s="639"/>
      <c r="J46" s="370">
        <f>IF(J26+P26+V26=ОПР!E24,"",J26+P26+V26-ОПР!E24)</f>
        <v>399</v>
      </c>
      <c r="K46" s="341"/>
      <c r="L46" s="368"/>
      <c r="M46" s="368"/>
      <c r="N46" s="368"/>
      <c r="O46" s="368"/>
      <c r="P46" s="341"/>
      <c r="Q46" s="342"/>
      <c r="R46" s="342"/>
      <c r="S46" s="342"/>
      <c r="T46" s="342"/>
      <c r="U46" s="342"/>
      <c r="V46" s="342"/>
      <c r="W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</row>
    <row r="47" spans="2:68" ht="15">
      <c r="B47" s="639" t="str">
        <f>IF($J46="","","Общо разходи за амортизации на всички активи в спраката, за текущия период:")</f>
        <v>Общо разходи за амортизации на всички активи в спраката, за текущия период:</v>
      </c>
      <c r="C47" s="639"/>
      <c r="D47" s="639"/>
      <c r="E47" s="639"/>
      <c r="F47" s="639"/>
      <c r="G47" s="639"/>
      <c r="H47" s="639"/>
      <c r="I47" s="639"/>
      <c r="J47" s="370">
        <f>IF($J46="","",J26+P26+V26)</f>
        <v>-449</v>
      </c>
      <c r="K47" s="341"/>
      <c r="L47" s="368"/>
      <c r="M47" s="368"/>
      <c r="N47" s="368"/>
      <c r="O47" s="368"/>
      <c r="P47" s="341"/>
      <c r="Q47" s="342"/>
      <c r="R47" s="342"/>
      <c r="S47" s="342"/>
      <c r="T47" s="342"/>
      <c r="U47" s="342"/>
      <c r="V47" s="342"/>
      <c r="W47" s="342"/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</row>
    <row r="48" spans="2:68" ht="15">
      <c r="B48" s="638" t="str">
        <f>IF(J46="","","Разходи за амортизации в ОПР за текущия период:")</f>
        <v>Разходи за амортизации в ОПР за текущия период:</v>
      </c>
      <c r="C48" s="638"/>
      <c r="D48" s="638"/>
      <c r="E48" s="638"/>
      <c r="F48" s="638"/>
      <c r="G48" s="638"/>
      <c r="H48" s="638"/>
      <c r="I48" s="638"/>
      <c r="J48" s="371">
        <f>IF($J46="","",ОПР!E24)</f>
        <v>-848</v>
      </c>
      <c r="K48" s="341"/>
      <c r="L48" s="368"/>
      <c r="M48" s="368"/>
      <c r="N48" s="368"/>
      <c r="O48" s="368"/>
      <c r="P48" s="341"/>
      <c r="Q48" s="342"/>
      <c r="R48" s="342"/>
      <c r="S48" s="342"/>
      <c r="T48" s="342"/>
      <c r="U48" s="342"/>
      <c r="V48" s="342"/>
      <c r="W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/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2"/>
      <c r="BD48" s="342"/>
      <c r="BE48" s="342"/>
      <c r="BF48" s="342"/>
      <c r="BG48" s="342"/>
      <c r="BH48" s="342"/>
      <c r="BI48" s="342"/>
      <c r="BJ48" s="342"/>
      <c r="BK48" s="342"/>
      <c r="BL48" s="342"/>
      <c r="BM48" s="342"/>
      <c r="BN48" s="342"/>
      <c r="BO48" s="342"/>
      <c r="BP48" s="342"/>
    </row>
    <row r="49" spans="2:68" ht="15">
      <c r="B49" s="381"/>
      <c r="C49" s="381"/>
      <c r="F49" s="367"/>
      <c r="G49" s="378"/>
      <c r="H49" s="378"/>
      <c r="I49" s="378"/>
      <c r="K49" s="341"/>
      <c r="L49" s="368"/>
      <c r="M49" s="368"/>
      <c r="N49" s="368"/>
      <c r="O49" s="368"/>
      <c r="P49" s="341"/>
      <c r="Q49" s="342"/>
      <c r="R49" s="342"/>
      <c r="S49" s="342"/>
      <c r="T49" s="342"/>
      <c r="U49" s="342"/>
      <c r="V49" s="342"/>
      <c r="W49" s="342"/>
      <c r="X49" s="357"/>
      <c r="Y49" s="357"/>
      <c r="Z49" s="357"/>
      <c r="AA49" s="357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/>
      <c r="BD49" s="342"/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</row>
    <row r="50" spans="2:68" s="382" customFormat="1" ht="15">
      <c r="B50" s="381"/>
      <c r="C50" s="381"/>
      <c r="F50" s="367"/>
      <c r="G50" s="378"/>
      <c r="H50" s="378"/>
      <c r="I50" s="378"/>
      <c r="J50" s="383"/>
      <c r="K50" s="383"/>
      <c r="L50" s="378"/>
      <c r="M50" s="378"/>
      <c r="N50" s="378"/>
      <c r="O50" s="378"/>
      <c r="P50" s="383"/>
      <c r="Q50" s="384"/>
      <c r="R50" s="384"/>
      <c r="S50" s="384"/>
      <c r="T50" s="384"/>
      <c r="U50" s="384"/>
      <c r="V50" s="384"/>
      <c r="W50" s="384"/>
      <c r="X50" s="342"/>
      <c r="Y50" s="342"/>
      <c r="Z50" s="342"/>
      <c r="AA50" s="342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4"/>
      <c r="BF50" s="384"/>
      <c r="BG50" s="384"/>
      <c r="BH50" s="384"/>
      <c r="BI50" s="384"/>
      <c r="BJ50" s="384"/>
      <c r="BK50" s="384"/>
      <c r="BL50" s="384"/>
      <c r="BM50" s="384"/>
      <c r="BN50" s="384"/>
      <c r="BO50" s="384"/>
      <c r="BP50" s="384"/>
    </row>
    <row r="51" spans="2:68" s="382" customFormat="1" ht="15">
      <c r="B51" s="381"/>
      <c r="C51" s="381"/>
      <c r="F51" s="367"/>
      <c r="G51" s="378"/>
      <c r="H51" s="378"/>
      <c r="I51" s="378"/>
      <c r="J51" s="341"/>
      <c r="K51" s="341"/>
      <c r="L51" s="368"/>
      <c r="M51" s="368"/>
      <c r="N51" s="368"/>
      <c r="O51" s="368"/>
      <c r="P51" s="341"/>
      <c r="Q51" s="384"/>
      <c r="R51" s="384"/>
      <c r="S51" s="384"/>
      <c r="T51" s="384"/>
      <c r="U51" s="384"/>
      <c r="V51" s="384"/>
      <c r="W51" s="384"/>
      <c r="X51" s="342"/>
      <c r="Y51" s="342"/>
      <c r="Z51" s="342"/>
      <c r="AA51" s="342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</row>
    <row r="52" spans="2:68" s="382" customFormat="1" ht="15">
      <c r="B52" s="381"/>
      <c r="C52" s="381"/>
      <c r="F52" s="367"/>
      <c r="G52" s="378"/>
      <c r="H52" s="378"/>
      <c r="I52" s="378"/>
      <c r="J52" s="341"/>
      <c r="K52" s="341"/>
      <c r="L52" s="368"/>
      <c r="M52" s="368"/>
      <c r="N52" s="368"/>
      <c r="O52" s="368"/>
      <c r="P52" s="341"/>
      <c r="Q52" s="384"/>
      <c r="R52" s="384"/>
      <c r="S52" s="384"/>
      <c r="T52" s="384"/>
      <c r="U52" s="384"/>
      <c r="V52" s="384"/>
      <c r="W52" s="384"/>
      <c r="X52" s="342"/>
      <c r="Y52" s="342"/>
      <c r="Z52" s="342"/>
      <c r="AA52" s="342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4"/>
      <c r="BN52" s="384"/>
      <c r="BO52" s="384"/>
      <c r="BP52" s="384"/>
    </row>
    <row r="53" spans="2:68" s="382" customFormat="1" ht="15" customHeight="1">
      <c r="B53" s="381"/>
      <c r="C53" s="381"/>
      <c r="F53" s="367"/>
      <c r="G53" s="378"/>
      <c r="H53" s="378"/>
      <c r="I53" s="378"/>
      <c r="J53" s="341"/>
      <c r="K53" s="341"/>
      <c r="L53" s="368"/>
      <c r="M53" s="368"/>
      <c r="N53" s="368"/>
      <c r="O53" s="368"/>
      <c r="P53" s="341"/>
      <c r="Q53" s="384"/>
      <c r="R53" s="384"/>
      <c r="S53" s="384"/>
      <c r="T53" s="384"/>
      <c r="U53" s="384"/>
      <c r="V53" s="384"/>
      <c r="W53" s="384"/>
      <c r="X53" s="342"/>
      <c r="Y53" s="342"/>
      <c r="Z53" s="342"/>
      <c r="AA53" s="342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  <c r="AV53" s="384"/>
      <c r="AW53" s="384"/>
      <c r="AX53" s="384"/>
      <c r="AY53" s="384"/>
      <c r="AZ53" s="384"/>
      <c r="BA53" s="384"/>
      <c r="BB53" s="384"/>
      <c r="BC53" s="384"/>
      <c r="BD53" s="384"/>
      <c r="BE53" s="384"/>
      <c r="BF53" s="384"/>
      <c r="BG53" s="384"/>
      <c r="BH53" s="384"/>
      <c r="BI53" s="384"/>
      <c r="BJ53" s="384"/>
      <c r="BK53" s="384"/>
      <c r="BL53" s="384"/>
      <c r="BM53" s="384"/>
      <c r="BN53" s="384"/>
      <c r="BO53" s="384"/>
      <c r="BP53" s="384"/>
    </row>
    <row r="54" spans="2:68" s="382" customFormat="1" ht="15.75" customHeight="1">
      <c r="B54" s="381"/>
      <c r="C54" s="381"/>
      <c r="F54" s="367"/>
      <c r="G54" s="378"/>
      <c r="H54" s="378"/>
      <c r="I54" s="378"/>
      <c r="J54" s="341"/>
      <c r="K54" s="341"/>
      <c r="L54" s="368"/>
      <c r="M54" s="368"/>
      <c r="N54" s="368"/>
      <c r="O54" s="368"/>
      <c r="P54" s="341"/>
      <c r="Q54" s="355"/>
      <c r="R54" s="355"/>
      <c r="S54" s="384"/>
      <c r="T54" s="384"/>
      <c r="U54" s="384"/>
      <c r="V54" s="384"/>
      <c r="W54" s="384"/>
      <c r="X54" s="342"/>
      <c r="Y54" s="342"/>
      <c r="Z54" s="342"/>
      <c r="AA54" s="342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  <c r="AV54" s="384"/>
      <c r="AW54" s="384"/>
      <c r="AX54" s="384"/>
      <c r="AY54" s="384"/>
      <c r="AZ54" s="384"/>
      <c r="BA54" s="384"/>
      <c r="BB54" s="384"/>
      <c r="BC54" s="384"/>
      <c r="BD54" s="384"/>
      <c r="BE54" s="384"/>
      <c r="BF54" s="384"/>
      <c r="BG54" s="384"/>
      <c r="BH54" s="384"/>
      <c r="BI54" s="384"/>
      <c r="BJ54" s="384"/>
      <c r="BK54" s="384"/>
      <c r="BL54" s="384"/>
      <c r="BM54" s="384"/>
      <c r="BN54" s="384"/>
      <c r="BO54" s="384"/>
      <c r="BP54" s="384"/>
    </row>
    <row r="55" spans="2:68" s="382" customFormat="1" ht="14.25" customHeight="1">
      <c r="B55" s="381"/>
      <c r="C55" s="381"/>
      <c r="F55" s="367"/>
      <c r="G55" s="385"/>
      <c r="H55" s="385"/>
      <c r="I55" s="385"/>
      <c r="J55" s="341"/>
      <c r="K55" s="341"/>
      <c r="L55" s="386"/>
      <c r="M55" s="386"/>
      <c r="N55" s="386"/>
      <c r="O55" s="386"/>
      <c r="P55" s="341"/>
      <c r="Q55" s="355"/>
      <c r="R55" s="355"/>
      <c r="S55" s="384"/>
      <c r="T55" s="384"/>
      <c r="U55" s="384"/>
      <c r="V55" s="384"/>
      <c r="W55" s="384"/>
      <c r="X55" s="342"/>
      <c r="Y55" s="342"/>
      <c r="Z55" s="342"/>
      <c r="AA55" s="342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4"/>
      <c r="BN55" s="384"/>
      <c r="BO55" s="384"/>
      <c r="BP55" s="384"/>
    </row>
    <row r="56" spans="2:68" s="367" customFormat="1" ht="15">
      <c r="B56" s="387"/>
      <c r="C56" s="387"/>
      <c r="F56" s="35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55"/>
      <c r="R56" s="355"/>
      <c r="S56" s="388"/>
      <c r="T56" s="388"/>
      <c r="U56" s="388"/>
      <c r="V56" s="388"/>
      <c r="W56" s="388"/>
      <c r="X56" s="342"/>
      <c r="Y56" s="342"/>
      <c r="Z56" s="342"/>
      <c r="AA56" s="342"/>
      <c r="AB56" s="388"/>
      <c r="AC56" s="388"/>
      <c r="AD56" s="388"/>
      <c r="AE56" s="388"/>
      <c r="AF56" s="388"/>
      <c r="AG56" s="388"/>
      <c r="AH56" s="388"/>
      <c r="AI56" s="388"/>
      <c r="AJ56" s="388"/>
      <c r="AK56" s="388"/>
      <c r="AL56" s="388"/>
      <c r="AM56" s="388"/>
      <c r="AN56" s="388"/>
      <c r="AO56" s="388"/>
      <c r="AP56" s="388"/>
      <c r="AQ56" s="388"/>
      <c r="AR56" s="388"/>
      <c r="AS56" s="388"/>
      <c r="AT56" s="388"/>
      <c r="AU56" s="388"/>
      <c r="AV56" s="388"/>
      <c r="AW56" s="388"/>
      <c r="AX56" s="388"/>
      <c r="AY56" s="388"/>
      <c r="AZ56" s="388"/>
      <c r="BA56" s="388"/>
      <c r="BB56" s="388"/>
      <c r="BC56" s="388"/>
      <c r="BD56" s="388"/>
      <c r="BE56" s="388"/>
      <c r="BF56" s="388"/>
      <c r="BG56" s="388"/>
      <c r="BH56" s="388"/>
      <c r="BI56" s="388"/>
      <c r="BJ56" s="388"/>
      <c r="BK56" s="388"/>
      <c r="BL56" s="388"/>
      <c r="BM56" s="388"/>
      <c r="BN56" s="388"/>
      <c r="BO56" s="388"/>
      <c r="BP56" s="388"/>
    </row>
    <row r="57" spans="2:68" ht="15">
      <c r="B57" s="387"/>
      <c r="C57" s="387"/>
      <c r="F57" s="357"/>
      <c r="G57" s="389"/>
      <c r="H57" s="389"/>
      <c r="I57" s="389"/>
      <c r="J57" s="362"/>
      <c r="K57" s="362"/>
      <c r="L57" s="389"/>
      <c r="M57" s="389"/>
      <c r="N57" s="389"/>
      <c r="O57" s="389"/>
      <c r="P57" s="389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2"/>
      <c r="AR57" s="342"/>
      <c r="AS57" s="342"/>
      <c r="AT57" s="342"/>
      <c r="AU57" s="342"/>
      <c r="AV57" s="342"/>
      <c r="AW57" s="342"/>
      <c r="AX57" s="342"/>
      <c r="AY57" s="342"/>
      <c r="AZ57" s="342"/>
      <c r="BA57" s="342"/>
      <c r="BB57" s="342"/>
      <c r="BC57" s="342"/>
      <c r="BD57" s="342"/>
      <c r="BE57" s="342"/>
      <c r="BF57" s="342"/>
      <c r="BG57" s="342"/>
      <c r="BH57" s="342"/>
      <c r="BI57" s="342"/>
      <c r="BJ57" s="342"/>
      <c r="BK57" s="342"/>
      <c r="BL57" s="342"/>
      <c r="BM57" s="342"/>
      <c r="BN57" s="342"/>
      <c r="BO57" s="342"/>
      <c r="BP57" s="342"/>
    </row>
    <row r="58" spans="2:68" ht="15">
      <c r="B58" s="369"/>
      <c r="C58" s="369"/>
      <c r="F58" s="367"/>
      <c r="G58" s="378"/>
      <c r="H58" s="378"/>
      <c r="I58" s="378"/>
      <c r="J58" s="341"/>
      <c r="K58" s="341"/>
      <c r="L58" s="368"/>
      <c r="M58" s="368"/>
      <c r="N58" s="368"/>
      <c r="O58" s="368"/>
      <c r="P58" s="341"/>
      <c r="Q58" s="342"/>
      <c r="R58" s="342"/>
      <c r="S58" s="342"/>
      <c r="T58" s="342"/>
      <c r="U58" s="342"/>
      <c r="V58" s="342"/>
      <c r="W58" s="342"/>
      <c r="X58" s="384"/>
      <c r="Y58" s="384"/>
      <c r="Z58" s="384"/>
      <c r="AA58" s="384"/>
      <c r="AB58" s="342"/>
      <c r="AC58" s="342"/>
      <c r="AD58" s="342"/>
      <c r="AE58" s="342"/>
      <c r="AF58" s="342"/>
      <c r="AG58" s="342"/>
      <c r="AH58" s="342"/>
      <c r="AI58" s="342"/>
      <c r="AJ58" s="342"/>
      <c r="AK58" s="342"/>
      <c r="AL58" s="342"/>
      <c r="AM58" s="342"/>
      <c r="AN58" s="342"/>
      <c r="AO58" s="342"/>
      <c r="AP58" s="342"/>
      <c r="AQ58" s="342"/>
      <c r="AR58" s="342"/>
      <c r="AS58" s="342"/>
      <c r="AT58" s="342"/>
      <c r="AU58" s="342"/>
      <c r="AV58" s="342"/>
      <c r="AW58" s="342"/>
      <c r="AX58" s="342"/>
      <c r="AY58" s="342"/>
      <c r="AZ58" s="342"/>
      <c r="BA58" s="342"/>
      <c r="BB58" s="342"/>
      <c r="BC58" s="342"/>
      <c r="BD58" s="342"/>
      <c r="BE58" s="342"/>
      <c r="BF58" s="342"/>
      <c r="BG58" s="342"/>
      <c r="BH58" s="342"/>
      <c r="BI58" s="342"/>
      <c r="BJ58" s="342"/>
      <c r="BK58" s="342"/>
      <c r="BL58" s="342"/>
      <c r="BM58" s="342"/>
      <c r="BN58" s="342"/>
      <c r="BO58" s="342"/>
      <c r="BP58" s="342"/>
    </row>
    <row r="59" spans="2:68" ht="15">
      <c r="B59" s="369"/>
      <c r="C59" s="369"/>
      <c r="F59" s="367"/>
      <c r="G59" s="378"/>
      <c r="H59" s="378"/>
      <c r="I59" s="378"/>
      <c r="J59" s="341"/>
      <c r="K59" s="341"/>
      <c r="L59" s="368"/>
      <c r="M59" s="368"/>
      <c r="N59" s="368"/>
      <c r="O59" s="368"/>
      <c r="P59" s="341"/>
      <c r="Q59" s="342"/>
      <c r="R59" s="342"/>
      <c r="S59" s="342"/>
      <c r="T59" s="342"/>
      <c r="U59" s="342"/>
      <c r="V59" s="342"/>
      <c r="W59" s="342"/>
      <c r="X59" s="384"/>
      <c r="Y59" s="384"/>
      <c r="Z59" s="384"/>
      <c r="AA59" s="384"/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  <c r="AS59" s="342"/>
      <c r="AT59" s="342"/>
      <c r="AU59" s="342"/>
      <c r="AV59" s="342"/>
      <c r="AW59" s="342"/>
      <c r="AX59" s="342"/>
      <c r="AY59" s="342"/>
      <c r="AZ59" s="342"/>
      <c r="BA59" s="342"/>
      <c r="BB59" s="342"/>
      <c r="BC59" s="342"/>
      <c r="BD59" s="342"/>
      <c r="BE59" s="342"/>
      <c r="BF59" s="342"/>
      <c r="BG59" s="342"/>
      <c r="BH59" s="342"/>
      <c r="BI59" s="342"/>
      <c r="BJ59" s="342"/>
      <c r="BK59" s="342"/>
      <c r="BL59" s="342"/>
      <c r="BM59" s="342"/>
      <c r="BN59" s="342"/>
      <c r="BO59" s="342"/>
      <c r="BP59" s="342"/>
    </row>
    <row r="60" spans="2:68" s="357" customFormat="1" ht="15">
      <c r="B60" s="387"/>
      <c r="C60" s="38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90"/>
      <c r="R60" s="390"/>
      <c r="S60" s="390"/>
      <c r="T60" s="390"/>
      <c r="U60" s="390"/>
      <c r="V60" s="390"/>
      <c r="W60" s="390"/>
      <c r="X60" s="384"/>
      <c r="Y60" s="384"/>
      <c r="Z60" s="384"/>
      <c r="AA60" s="384"/>
      <c r="AB60" s="390"/>
      <c r="AC60" s="390"/>
      <c r="AD60" s="390"/>
      <c r="AE60" s="390"/>
      <c r="AF60" s="390"/>
      <c r="AG60" s="390"/>
      <c r="AH60" s="390"/>
      <c r="AI60" s="390"/>
      <c r="AJ60" s="390"/>
      <c r="AK60" s="390"/>
      <c r="AL60" s="390"/>
      <c r="AM60" s="390"/>
      <c r="AN60" s="390"/>
      <c r="AO60" s="390"/>
      <c r="AP60" s="390"/>
      <c r="AQ60" s="390"/>
      <c r="AR60" s="390"/>
      <c r="AS60" s="390"/>
      <c r="AT60" s="390"/>
      <c r="AU60" s="390"/>
      <c r="AV60" s="390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  <c r="BG60" s="390"/>
      <c r="BH60" s="390"/>
      <c r="BI60" s="390"/>
      <c r="BJ60" s="390"/>
      <c r="BK60" s="390"/>
      <c r="BL60" s="390"/>
      <c r="BM60" s="390"/>
      <c r="BN60" s="390"/>
      <c r="BO60" s="390"/>
      <c r="BP60" s="390"/>
    </row>
    <row r="61" spans="2:68" s="357" customFormat="1" ht="15">
      <c r="B61" s="387"/>
      <c r="C61" s="387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90"/>
      <c r="R61" s="390"/>
      <c r="S61" s="390"/>
      <c r="T61" s="390"/>
      <c r="U61" s="390"/>
      <c r="V61" s="390"/>
      <c r="W61" s="390"/>
      <c r="X61" s="384"/>
      <c r="Y61" s="384"/>
      <c r="Z61" s="384"/>
      <c r="AA61" s="384"/>
      <c r="AB61" s="390"/>
      <c r="AC61" s="390"/>
      <c r="AD61" s="390"/>
      <c r="AE61" s="390"/>
      <c r="AF61" s="390"/>
      <c r="AG61" s="390"/>
      <c r="AH61" s="390"/>
      <c r="AI61" s="390"/>
      <c r="AJ61" s="390"/>
      <c r="AK61" s="390"/>
      <c r="AL61" s="390"/>
      <c r="AM61" s="390"/>
      <c r="AN61" s="390"/>
      <c r="AO61" s="390"/>
      <c r="AP61" s="390"/>
      <c r="AQ61" s="390"/>
      <c r="AR61" s="390"/>
      <c r="AS61" s="390"/>
      <c r="AT61" s="390"/>
      <c r="AU61" s="390"/>
      <c r="AV61" s="390"/>
      <c r="AW61" s="390"/>
      <c r="AX61" s="390"/>
      <c r="AY61" s="390"/>
      <c r="AZ61" s="390"/>
      <c r="BA61" s="390"/>
      <c r="BB61" s="390"/>
      <c r="BC61" s="390"/>
      <c r="BD61" s="390"/>
      <c r="BE61" s="390"/>
      <c r="BF61" s="390"/>
      <c r="BG61" s="390"/>
      <c r="BH61" s="390"/>
      <c r="BI61" s="390"/>
      <c r="BJ61" s="390"/>
      <c r="BK61" s="390"/>
      <c r="BL61" s="390"/>
      <c r="BM61" s="390"/>
      <c r="BN61" s="390"/>
      <c r="BO61" s="390"/>
      <c r="BP61" s="390"/>
    </row>
    <row r="62" spans="2:68" ht="15">
      <c r="B62" s="369"/>
      <c r="C62" s="369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42"/>
      <c r="R62" s="342"/>
      <c r="S62" s="342"/>
      <c r="T62" s="342"/>
      <c r="U62" s="342"/>
      <c r="V62" s="342"/>
      <c r="W62" s="342"/>
      <c r="X62" s="384"/>
      <c r="Y62" s="384"/>
      <c r="Z62" s="384"/>
      <c r="AA62" s="384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2"/>
      <c r="AN62" s="342"/>
      <c r="AO62" s="342"/>
      <c r="AP62" s="342"/>
      <c r="AQ62" s="342"/>
      <c r="AR62" s="342"/>
      <c r="AS62" s="342"/>
      <c r="AT62" s="342"/>
      <c r="AU62" s="342"/>
      <c r="AV62" s="342"/>
      <c r="AW62" s="342"/>
      <c r="AX62" s="342"/>
      <c r="AY62" s="342"/>
      <c r="AZ62" s="342"/>
      <c r="BA62" s="342"/>
      <c r="BB62" s="342"/>
      <c r="BC62" s="342"/>
      <c r="BD62" s="342"/>
      <c r="BE62" s="342"/>
      <c r="BF62" s="342"/>
      <c r="BG62" s="342"/>
      <c r="BH62" s="342"/>
      <c r="BI62" s="342"/>
      <c r="BJ62" s="342"/>
      <c r="BK62" s="342"/>
      <c r="BL62" s="342"/>
      <c r="BM62" s="342"/>
      <c r="BN62" s="342"/>
      <c r="BO62" s="342"/>
      <c r="BP62" s="342"/>
    </row>
    <row r="63" spans="2:68" ht="14.25" customHeight="1">
      <c r="B63" s="391"/>
      <c r="C63" s="391"/>
      <c r="F63" s="392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42"/>
      <c r="R63" s="342"/>
      <c r="S63" s="342"/>
      <c r="T63" s="342"/>
      <c r="U63" s="342"/>
      <c r="V63" s="342"/>
      <c r="W63" s="342"/>
      <c r="X63" s="384"/>
      <c r="Y63" s="384"/>
      <c r="Z63" s="384"/>
      <c r="AA63" s="384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  <c r="AS63" s="342"/>
      <c r="AT63" s="342"/>
      <c r="AU63" s="342"/>
      <c r="AV63" s="342"/>
      <c r="AW63" s="342"/>
      <c r="AX63" s="342"/>
      <c r="AY63" s="342"/>
      <c r="AZ63" s="342"/>
      <c r="BA63" s="342"/>
      <c r="BB63" s="342"/>
      <c r="BC63" s="342"/>
      <c r="BD63" s="342"/>
      <c r="BE63" s="342"/>
      <c r="BF63" s="342"/>
      <c r="BG63" s="342"/>
      <c r="BH63" s="342"/>
      <c r="BI63" s="342"/>
      <c r="BJ63" s="342"/>
      <c r="BK63" s="342"/>
      <c r="BL63" s="342"/>
      <c r="BM63" s="342"/>
      <c r="BN63" s="342"/>
      <c r="BO63" s="342"/>
      <c r="BP63" s="342"/>
    </row>
    <row r="64" spans="2:68" ht="14.25" customHeight="1">
      <c r="B64" s="391"/>
      <c r="C64" s="391"/>
      <c r="F64" s="357"/>
      <c r="G64" s="391"/>
      <c r="H64" s="393"/>
      <c r="I64" s="393"/>
      <c r="J64" s="393"/>
      <c r="K64" s="394"/>
      <c r="L64" s="394"/>
      <c r="M64" s="393"/>
      <c r="N64" s="393"/>
      <c r="O64" s="393"/>
      <c r="P64" s="394"/>
      <c r="Q64" s="342"/>
      <c r="R64" s="342"/>
      <c r="S64" s="342"/>
      <c r="T64" s="342"/>
      <c r="U64" s="342"/>
      <c r="V64" s="342"/>
      <c r="W64" s="342"/>
      <c r="X64" s="388"/>
      <c r="Y64" s="388"/>
      <c r="Z64" s="388"/>
      <c r="AA64" s="388"/>
      <c r="AB64" s="342"/>
      <c r="AC64" s="342"/>
      <c r="AD64" s="342"/>
      <c r="AE64" s="342"/>
      <c r="AF64" s="342"/>
      <c r="AG64" s="342"/>
      <c r="AH64" s="342"/>
      <c r="AI64" s="342"/>
      <c r="AJ64" s="342"/>
      <c r="AK64" s="342"/>
      <c r="AL64" s="342"/>
      <c r="AM64" s="342"/>
      <c r="AN64" s="342"/>
      <c r="AO64" s="342"/>
      <c r="AP64" s="342"/>
      <c r="AQ64" s="342"/>
      <c r="AR64" s="342"/>
      <c r="AS64" s="342"/>
      <c r="AT64" s="342"/>
      <c r="AU64" s="342"/>
      <c r="AV64" s="342"/>
      <c r="AW64" s="342"/>
      <c r="AX64" s="342"/>
      <c r="AY64" s="342"/>
      <c r="AZ64" s="342"/>
      <c r="BA64" s="342"/>
      <c r="BB64" s="342"/>
      <c r="BC64" s="342"/>
      <c r="BD64" s="342"/>
      <c r="BE64" s="342"/>
      <c r="BF64" s="342"/>
      <c r="BG64" s="342"/>
      <c r="BH64" s="342"/>
      <c r="BI64" s="342"/>
      <c r="BJ64" s="342"/>
      <c r="BK64" s="342"/>
      <c r="BL64" s="342"/>
      <c r="BM64" s="342"/>
      <c r="BN64" s="342"/>
      <c r="BO64" s="342"/>
      <c r="BP64" s="342"/>
    </row>
    <row r="65" spans="2:68" ht="15" customHeight="1">
      <c r="B65" s="395"/>
      <c r="C65" s="395"/>
      <c r="G65" s="394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2"/>
      <c r="BF65" s="342"/>
      <c r="BG65" s="342"/>
      <c r="BH65" s="342"/>
      <c r="BI65" s="342"/>
      <c r="BJ65" s="342"/>
      <c r="BK65" s="342"/>
      <c r="BL65" s="342"/>
      <c r="BM65" s="342"/>
      <c r="BN65" s="342"/>
      <c r="BO65" s="342"/>
      <c r="BP65" s="342"/>
    </row>
    <row r="66" spans="2:68" s="396" customFormat="1" ht="15">
      <c r="B66" s="397"/>
      <c r="C66" s="397"/>
      <c r="G66" s="398"/>
      <c r="Q66" s="399"/>
      <c r="R66" s="399"/>
      <c r="S66" s="399"/>
      <c r="T66" s="399"/>
      <c r="U66" s="399"/>
      <c r="V66" s="399"/>
      <c r="W66" s="399"/>
      <c r="X66" s="342"/>
      <c r="Y66" s="342"/>
      <c r="Z66" s="342"/>
      <c r="AA66" s="342"/>
      <c r="AB66" s="399"/>
      <c r="AC66" s="399"/>
      <c r="AD66" s="399"/>
      <c r="AE66" s="399"/>
      <c r="AF66" s="399"/>
      <c r="AG66" s="399"/>
      <c r="AH66" s="399"/>
      <c r="AI66" s="399"/>
      <c r="AJ66" s="399"/>
      <c r="AK66" s="399"/>
      <c r="AL66" s="399"/>
      <c r="AM66" s="399"/>
      <c r="AN66" s="399"/>
      <c r="AO66" s="399"/>
      <c r="AP66" s="399"/>
      <c r="AQ66" s="399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99"/>
      <c r="BC66" s="399"/>
      <c r="BD66" s="399"/>
      <c r="BE66" s="399"/>
      <c r="BF66" s="399"/>
      <c r="BG66" s="399"/>
      <c r="BH66" s="399"/>
      <c r="BI66" s="399"/>
      <c r="BJ66" s="399"/>
      <c r="BK66" s="399"/>
      <c r="BL66" s="399"/>
      <c r="BM66" s="399"/>
      <c r="BN66" s="399"/>
      <c r="BO66" s="399"/>
      <c r="BP66" s="399"/>
    </row>
    <row r="67" spans="2:68" ht="15">
      <c r="B67" s="278"/>
      <c r="C67" s="278"/>
      <c r="F67" s="400"/>
      <c r="G67" s="400"/>
      <c r="H67" s="400"/>
      <c r="I67" s="400"/>
      <c r="J67" s="400"/>
      <c r="K67" s="400"/>
      <c r="L67" s="400"/>
      <c r="M67" s="400"/>
      <c r="N67" s="400"/>
      <c r="O67" s="400"/>
      <c r="P67" s="400"/>
      <c r="Q67" s="342"/>
      <c r="R67" s="342"/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  <c r="BC67" s="342"/>
      <c r="BD67" s="342"/>
      <c r="BE67" s="342"/>
      <c r="BF67" s="342"/>
      <c r="BG67" s="342"/>
      <c r="BH67" s="342"/>
      <c r="BI67" s="342"/>
      <c r="BJ67" s="342"/>
      <c r="BK67" s="342"/>
      <c r="BL67" s="342"/>
      <c r="BM67" s="342"/>
      <c r="BN67" s="342"/>
      <c r="BO67" s="342"/>
      <c r="BP67" s="342"/>
    </row>
    <row r="68" spans="2:68" ht="15">
      <c r="B68" s="401"/>
      <c r="C68" s="401"/>
      <c r="F68" s="402"/>
      <c r="G68" s="402"/>
      <c r="H68" s="402"/>
      <c r="I68" s="402"/>
      <c r="J68" s="402"/>
      <c r="K68" s="402"/>
      <c r="L68" s="403"/>
      <c r="M68" s="402"/>
      <c r="N68" s="402"/>
      <c r="O68" s="402"/>
      <c r="P68" s="402"/>
      <c r="Q68" s="342"/>
      <c r="R68" s="342"/>
      <c r="S68" s="342"/>
      <c r="T68" s="342"/>
      <c r="U68" s="342"/>
      <c r="V68" s="342"/>
      <c r="W68" s="342"/>
      <c r="X68" s="390"/>
      <c r="Y68" s="390"/>
      <c r="Z68" s="390"/>
      <c r="AA68" s="390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AT68" s="342"/>
      <c r="AU68" s="342"/>
      <c r="AV68" s="342"/>
      <c r="AW68" s="342"/>
      <c r="AX68" s="342"/>
      <c r="AY68" s="342"/>
      <c r="AZ68" s="342"/>
      <c r="BA68" s="342"/>
      <c r="BB68" s="342"/>
      <c r="BC68" s="342"/>
      <c r="BD68" s="342"/>
      <c r="BE68" s="342"/>
      <c r="BF68" s="342"/>
      <c r="BG68" s="342"/>
      <c r="BH68" s="342"/>
      <c r="BI68" s="342"/>
      <c r="BJ68" s="342"/>
      <c r="BK68" s="342"/>
      <c r="BL68" s="342"/>
      <c r="BM68" s="342"/>
      <c r="BN68" s="342"/>
      <c r="BO68" s="342"/>
      <c r="BP68" s="342"/>
    </row>
    <row r="69" spans="2:68" ht="15">
      <c r="B69" s="401"/>
      <c r="C69" s="401"/>
      <c r="F69" s="404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342"/>
      <c r="R69" s="342"/>
      <c r="S69" s="342"/>
      <c r="T69" s="342"/>
      <c r="U69" s="342"/>
      <c r="V69" s="342"/>
      <c r="W69" s="342"/>
      <c r="X69" s="390"/>
      <c r="Y69" s="390"/>
      <c r="Z69" s="390"/>
      <c r="AA69" s="390"/>
      <c r="AB69" s="342"/>
      <c r="AC69" s="342"/>
      <c r="AD69" s="342"/>
      <c r="AE69" s="342"/>
      <c r="AF69" s="342"/>
      <c r="AG69" s="342"/>
      <c r="AH69" s="342"/>
      <c r="AI69" s="342"/>
      <c r="AJ69" s="342"/>
      <c r="AK69" s="342"/>
      <c r="AL69" s="342"/>
      <c r="AM69" s="342"/>
      <c r="AN69" s="342"/>
      <c r="AO69" s="342"/>
      <c r="AP69" s="342"/>
      <c r="AQ69" s="342"/>
      <c r="AR69" s="342"/>
      <c r="AS69" s="342"/>
      <c r="AT69" s="342"/>
      <c r="AU69" s="342"/>
      <c r="AV69" s="342"/>
      <c r="AW69" s="342"/>
      <c r="AX69" s="342"/>
      <c r="AY69" s="342"/>
      <c r="AZ69" s="342"/>
      <c r="BA69" s="342"/>
      <c r="BB69" s="342"/>
      <c r="BC69" s="342"/>
      <c r="BD69" s="342"/>
      <c r="BE69" s="342"/>
      <c r="BF69" s="342"/>
      <c r="BG69" s="342"/>
      <c r="BH69" s="342"/>
      <c r="BI69" s="342"/>
      <c r="BJ69" s="342"/>
      <c r="BK69" s="342"/>
      <c r="BL69" s="342"/>
      <c r="BM69" s="342"/>
      <c r="BN69" s="342"/>
      <c r="BO69" s="342"/>
      <c r="BP69" s="342"/>
    </row>
    <row r="70" spans="2:68" ht="15">
      <c r="B70" s="401"/>
      <c r="C70" s="401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342"/>
      <c r="AB70" s="342"/>
      <c r="AC70" s="342"/>
      <c r="AD70" s="342"/>
      <c r="AE70" s="342"/>
      <c r="AF70" s="342"/>
      <c r="AG70" s="342"/>
      <c r="AH70" s="342"/>
      <c r="AI70" s="342"/>
      <c r="AJ70" s="342"/>
      <c r="AK70" s="342"/>
      <c r="AL70" s="342"/>
      <c r="AM70" s="342"/>
      <c r="AN70" s="342"/>
      <c r="AO70" s="342"/>
      <c r="AP70" s="342"/>
      <c r="AQ70" s="342"/>
      <c r="AR70" s="342"/>
      <c r="AS70" s="342"/>
      <c r="AT70" s="342"/>
      <c r="AU70" s="342"/>
      <c r="AV70" s="342"/>
      <c r="AW70" s="342"/>
      <c r="AX70" s="342"/>
      <c r="AY70" s="342"/>
      <c r="AZ70" s="342"/>
      <c r="BA70" s="342"/>
      <c r="BB70" s="342"/>
      <c r="BC70" s="342"/>
      <c r="BD70" s="342"/>
      <c r="BE70" s="342"/>
      <c r="BF70" s="342"/>
      <c r="BG70" s="342"/>
      <c r="BH70" s="342"/>
      <c r="BI70" s="342"/>
      <c r="BJ70" s="342"/>
      <c r="BK70" s="342"/>
      <c r="BL70" s="342"/>
      <c r="BM70" s="342"/>
      <c r="BN70" s="342"/>
      <c r="BO70" s="342"/>
      <c r="BP70" s="342"/>
    </row>
    <row r="71" spans="2:68" ht="15">
      <c r="B71" s="401"/>
      <c r="C71" s="401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  <c r="BC71" s="342"/>
      <c r="BD71" s="342"/>
      <c r="BE71" s="342"/>
      <c r="BF71" s="342"/>
      <c r="BG71" s="342"/>
      <c r="BH71" s="342"/>
      <c r="BI71" s="342"/>
      <c r="BJ71" s="342"/>
      <c r="BK71" s="342"/>
      <c r="BL71" s="342"/>
      <c r="BM71" s="342"/>
      <c r="BN71" s="342"/>
      <c r="BO71" s="342"/>
      <c r="BP71" s="342"/>
    </row>
    <row r="72" spans="2:68" ht="15">
      <c r="B72" s="401"/>
      <c r="C72" s="401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342"/>
      <c r="R72" s="342"/>
      <c r="S72" s="342"/>
      <c r="T72" s="342"/>
      <c r="U72" s="342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AT72" s="342"/>
      <c r="AU72" s="342"/>
      <c r="AV72" s="342"/>
      <c r="AW72" s="342"/>
      <c r="AX72" s="342"/>
      <c r="AY72" s="342"/>
      <c r="AZ72" s="342"/>
      <c r="BA72" s="342"/>
      <c r="BB72" s="342"/>
      <c r="BC72" s="342"/>
      <c r="BD72" s="342"/>
      <c r="BE72" s="342"/>
      <c r="BF72" s="342"/>
      <c r="BG72" s="342"/>
      <c r="BH72" s="342"/>
      <c r="BI72" s="342"/>
      <c r="BJ72" s="342"/>
      <c r="BK72" s="342"/>
      <c r="BL72" s="342"/>
      <c r="BM72" s="342"/>
      <c r="BN72" s="342"/>
      <c r="BO72" s="342"/>
      <c r="BP72" s="342"/>
    </row>
    <row r="73" spans="2:68" ht="15">
      <c r="B73" s="401"/>
      <c r="C73" s="401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342"/>
      <c r="AS73" s="342"/>
      <c r="AT73" s="342"/>
      <c r="AU73" s="342"/>
      <c r="AV73" s="342"/>
      <c r="AW73" s="342"/>
      <c r="AX73" s="342"/>
      <c r="AY73" s="342"/>
      <c r="AZ73" s="342"/>
      <c r="BA73" s="342"/>
      <c r="BB73" s="342"/>
      <c r="BC73" s="342"/>
      <c r="BD73" s="342"/>
      <c r="BE73" s="342"/>
      <c r="BF73" s="342"/>
      <c r="BG73" s="342"/>
      <c r="BH73" s="342"/>
      <c r="BI73" s="342"/>
      <c r="BJ73" s="342"/>
      <c r="BK73" s="342"/>
      <c r="BL73" s="342"/>
      <c r="BM73" s="342"/>
      <c r="BN73" s="342"/>
      <c r="BO73" s="342"/>
      <c r="BP73" s="342"/>
    </row>
    <row r="74" spans="2:68" ht="15">
      <c r="B74" s="401"/>
      <c r="C74" s="401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342"/>
      <c r="R74" s="342"/>
      <c r="S74" s="342"/>
      <c r="T74" s="342"/>
      <c r="U74" s="342"/>
      <c r="V74" s="342"/>
      <c r="W74" s="342"/>
      <c r="X74" s="399"/>
      <c r="Y74" s="399"/>
      <c r="Z74" s="399"/>
      <c r="AA74" s="399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2"/>
      <c r="AX74" s="342"/>
      <c r="AY74" s="342"/>
      <c r="AZ74" s="342"/>
      <c r="BA74" s="342"/>
      <c r="BB74" s="342"/>
      <c r="BC74" s="342"/>
      <c r="BD74" s="342"/>
      <c r="BE74" s="342"/>
      <c r="BF74" s="342"/>
      <c r="BG74" s="342"/>
      <c r="BH74" s="342"/>
      <c r="BI74" s="342"/>
      <c r="BJ74" s="342"/>
      <c r="BK74" s="342"/>
      <c r="BL74" s="342"/>
      <c r="BM74" s="342"/>
      <c r="BN74" s="342"/>
      <c r="BO74" s="342"/>
      <c r="BP74" s="342"/>
    </row>
    <row r="75" spans="2:68" ht="15">
      <c r="B75" s="342"/>
      <c r="C75" s="34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2"/>
      <c r="AQ75" s="342"/>
      <c r="AR75" s="342"/>
      <c r="AS75" s="342"/>
      <c r="AT75" s="342"/>
      <c r="AU75" s="342"/>
      <c r="AV75" s="342"/>
      <c r="AW75" s="342"/>
      <c r="AX75" s="342"/>
      <c r="AY75" s="342"/>
      <c r="AZ75" s="342"/>
      <c r="BA75" s="342"/>
      <c r="BB75" s="342"/>
      <c r="BC75" s="342"/>
      <c r="BD75" s="342"/>
      <c r="BE75" s="342"/>
      <c r="BF75" s="342"/>
      <c r="BG75" s="342"/>
      <c r="BH75" s="342"/>
      <c r="BI75" s="342"/>
      <c r="BJ75" s="342"/>
      <c r="BK75" s="342"/>
      <c r="BL75" s="342"/>
      <c r="BM75" s="342"/>
      <c r="BN75" s="342"/>
      <c r="BO75" s="342"/>
      <c r="BP75" s="342"/>
    </row>
    <row r="76" spans="2:68" ht="15">
      <c r="B76" s="342"/>
      <c r="C76" s="34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2"/>
      <c r="AL76" s="342"/>
      <c r="AM76" s="342"/>
      <c r="AN76" s="342"/>
      <c r="AO76" s="342"/>
      <c r="AP76" s="342"/>
      <c r="AQ76" s="342"/>
      <c r="AR76" s="342"/>
      <c r="AS76" s="342"/>
      <c r="AT76" s="342"/>
      <c r="AU76" s="342"/>
      <c r="AV76" s="342"/>
      <c r="AW76" s="342"/>
      <c r="AX76" s="342"/>
      <c r="AY76" s="342"/>
      <c r="AZ76" s="342"/>
      <c r="BA76" s="342"/>
      <c r="BB76" s="342"/>
      <c r="BC76" s="342"/>
      <c r="BD76" s="342"/>
      <c r="BE76" s="342"/>
      <c r="BF76" s="342"/>
      <c r="BG76" s="342"/>
      <c r="BH76" s="342"/>
      <c r="BI76" s="342"/>
      <c r="BJ76" s="342"/>
      <c r="BK76" s="342"/>
      <c r="BL76" s="342"/>
      <c r="BM76" s="342"/>
      <c r="BN76" s="342"/>
      <c r="BO76" s="342"/>
      <c r="BP76" s="342"/>
    </row>
    <row r="77" spans="2:68" ht="15">
      <c r="B77" s="342"/>
      <c r="C77" s="34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342"/>
      <c r="AO77" s="342"/>
      <c r="AP77" s="342"/>
      <c r="AQ77" s="342"/>
      <c r="AR77" s="342"/>
      <c r="AS77" s="342"/>
      <c r="AT77" s="342"/>
      <c r="AU77" s="342"/>
      <c r="AV77" s="342"/>
      <c r="AW77" s="342"/>
      <c r="AX77" s="342"/>
      <c r="AY77" s="342"/>
      <c r="AZ77" s="342"/>
      <c r="BA77" s="342"/>
      <c r="BB77" s="342"/>
      <c r="BC77" s="342"/>
      <c r="BD77" s="342"/>
      <c r="BE77" s="342"/>
      <c r="BF77" s="342"/>
      <c r="BG77" s="342"/>
      <c r="BH77" s="342"/>
      <c r="BI77" s="342"/>
      <c r="BJ77" s="342"/>
      <c r="BK77" s="342"/>
      <c r="BL77" s="342"/>
      <c r="BM77" s="342"/>
      <c r="BN77" s="342"/>
      <c r="BO77" s="342"/>
      <c r="BP77" s="342"/>
    </row>
    <row r="78" spans="2:68" ht="15">
      <c r="B78" s="342"/>
      <c r="C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342"/>
      <c r="AQ78" s="342"/>
      <c r="AR78" s="342"/>
      <c r="AS78" s="342"/>
      <c r="AT78" s="342"/>
      <c r="AU78" s="342"/>
      <c r="AV78" s="342"/>
      <c r="AW78" s="342"/>
      <c r="AX78" s="342"/>
      <c r="AY78" s="342"/>
      <c r="AZ78" s="342"/>
      <c r="BA78" s="342"/>
      <c r="BB78" s="342"/>
      <c r="BC78" s="342"/>
      <c r="BD78" s="342"/>
      <c r="BE78" s="342"/>
      <c r="BF78" s="342"/>
      <c r="BG78" s="342"/>
      <c r="BH78" s="342"/>
      <c r="BI78" s="342"/>
      <c r="BJ78" s="342"/>
      <c r="BK78" s="342"/>
      <c r="BL78" s="342"/>
      <c r="BM78" s="342"/>
      <c r="BN78" s="342"/>
      <c r="BO78" s="342"/>
      <c r="BP78" s="342"/>
    </row>
    <row r="79" spans="2:68" ht="15">
      <c r="B79" s="342"/>
      <c r="C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  <c r="AS79" s="342"/>
      <c r="AT79" s="342"/>
      <c r="AU79" s="342"/>
      <c r="AV79" s="342"/>
      <c r="AW79" s="342"/>
      <c r="AX79" s="342"/>
      <c r="AY79" s="342"/>
      <c r="AZ79" s="342"/>
      <c r="BA79" s="342"/>
      <c r="BB79" s="342"/>
      <c r="BC79" s="342"/>
      <c r="BD79" s="342"/>
      <c r="BE79" s="342"/>
      <c r="BF79" s="342"/>
      <c r="BG79" s="342"/>
      <c r="BH79" s="342"/>
      <c r="BI79" s="342"/>
      <c r="BJ79" s="342"/>
      <c r="BK79" s="342"/>
      <c r="BL79" s="342"/>
      <c r="BM79" s="342"/>
      <c r="BN79" s="342"/>
      <c r="BO79" s="342"/>
      <c r="BP79" s="342"/>
    </row>
    <row r="80" spans="2:68" ht="15">
      <c r="B80" s="342"/>
      <c r="C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  <c r="AP80" s="342"/>
      <c r="AQ80" s="342"/>
      <c r="AR80" s="342"/>
      <c r="AS80" s="342"/>
      <c r="AT80" s="342"/>
      <c r="AU80" s="342"/>
      <c r="AV80" s="342"/>
      <c r="AW80" s="342"/>
      <c r="AX80" s="342"/>
      <c r="AY80" s="342"/>
      <c r="AZ80" s="342"/>
      <c r="BA80" s="342"/>
      <c r="BB80" s="342"/>
      <c r="BC80" s="342"/>
      <c r="BD80" s="342"/>
      <c r="BE80" s="342"/>
      <c r="BF80" s="342"/>
      <c r="BG80" s="342"/>
      <c r="BH80" s="342"/>
      <c r="BI80" s="342"/>
      <c r="BJ80" s="342"/>
      <c r="BK80" s="342"/>
      <c r="BL80" s="342"/>
      <c r="BM80" s="342"/>
      <c r="BN80" s="342"/>
      <c r="BO80" s="342"/>
      <c r="BP80" s="342"/>
    </row>
    <row r="81" spans="2:68" ht="15">
      <c r="B81" s="342"/>
      <c r="C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S81" s="342"/>
      <c r="AT81" s="342"/>
      <c r="AU81" s="342"/>
      <c r="AV81" s="342"/>
      <c r="AW81" s="342"/>
      <c r="AX81" s="342"/>
      <c r="AY81" s="342"/>
      <c r="AZ81" s="342"/>
      <c r="BA81" s="342"/>
      <c r="BB81" s="342"/>
      <c r="BC81" s="342"/>
      <c r="BD81" s="342"/>
      <c r="BE81" s="342"/>
      <c r="BF81" s="342"/>
      <c r="BG81" s="342"/>
      <c r="BH81" s="342"/>
      <c r="BI81" s="342"/>
      <c r="BJ81" s="342"/>
      <c r="BK81" s="342"/>
      <c r="BL81" s="342"/>
      <c r="BM81" s="342"/>
      <c r="BN81" s="342"/>
      <c r="BO81" s="342"/>
      <c r="BP81" s="342"/>
    </row>
    <row r="82" spans="2:68" ht="15">
      <c r="B82" s="342"/>
      <c r="C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  <c r="AO82" s="342"/>
      <c r="AP82" s="342"/>
      <c r="AQ82" s="342"/>
      <c r="AR82" s="342"/>
      <c r="AS82" s="342"/>
      <c r="AT82" s="342"/>
      <c r="AU82" s="342"/>
      <c r="AV82" s="342"/>
      <c r="AW82" s="342"/>
      <c r="AX82" s="342"/>
      <c r="AY82" s="342"/>
      <c r="AZ82" s="342"/>
      <c r="BA82" s="342"/>
      <c r="BB82" s="342"/>
      <c r="BC82" s="342"/>
      <c r="BD82" s="342"/>
      <c r="BE82" s="342"/>
      <c r="BF82" s="342"/>
      <c r="BG82" s="342"/>
      <c r="BH82" s="342"/>
      <c r="BI82" s="342"/>
      <c r="BJ82" s="342"/>
      <c r="BK82" s="342"/>
      <c r="BL82" s="342"/>
      <c r="BM82" s="342"/>
      <c r="BN82" s="342"/>
      <c r="BO82" s="342"/>
      <c r="BP82" s="342"/>
    </row>
    <row r="83" spans="2:68" ht="15">
      <c r="B83" s="342"/>
      <c r="C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  <c r="AP83" s="342"/>
      <c r="AQ83" s="342"/>
      <c r="AR83" s="342"/>
      <c r="AS83" s="342"/>
      <c r="AT83" s="342"/>
      <c r="AU83" s="342"/>
      <c r="AV83" s="342"/>
      <c r="AW83" s="342"/>
      <c r="AX83" s="342"/>
      <c r="AY83" s="342"/>
      <c r="AZ83" s="342"/>
      <c r="BA83" s="342"/>
      <c r="BB83" s="342"/>
      <c r="BC83" s="342"/>
      <c r="BD83" s="342"/>
      <c r="BE83" s="342"/>
      <c r="BF83" s="342"/>
      <c r="BG83" s="342"/>
      <c r="BH83" s="342"/>
      <c r="BI83" s="342"/>
      <c r="BJ83" s="342"/>
      <c r="BK83" s="342"/>
      <c r="BL83" s="342"/>
      <c r="BM83" s="342"/>
      <c r="BN83" s="342"/>
      <c r="BO83" s="342"/>
      <c r="BP83" s="342"/>
    </row>
    <row r="84" spans="2:68" ht="15">
      <c r="B84" s="342"/>
      <c r="C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  <c r="AP84" s="342"/>
      <c r="AQ84" s="342"/>
      <c r="AR84" s="342"/>
      <c r="AS84" s="342"/>
      <c r="AT84" s="342"/>
      <c r="AU84" s="342"/>
      <c r="AV84" s="342"/>
      <c r="AW84" s="342"/>
      <c r="AX84" s="342"/>
      <c r="AY84" s="342"/>
      <c r="AZ84" s="342"/>
      <c r="BA84" s="342"/>
      <c r="BB84" s="342"/>
      <c r="BC84" s="342"/>
      <c r="BD84" s="342"/>
      <c r="BE84" s="342"/>
      <c r="BF84" s="342"/>
      <c r="BG84" s="342"/>
      <c r="BH84" s="342"/>
      <c r="BI84" s="342"/>
      <c r="BJ84" s="342"/>
      <c r="BK84" s="342"/>
      <c r="BL84" s="342"/>
      <c r="BM84" s="342"/>
      <c r="BN84" s="342"/>
      <c r="BO84" s="342"/>
      <c r="BP84" s="342"/>
    </row>
    <row r="85" spans="2:68" ht="15">
      <c r="B85" s="342"/>
      <c r="C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  <c r="BC85" s="342"/>
      <c r="BD85" s="342"/>
      <c r="BE85" s="342"/>
      <c r="BF85" s="342"/>
      <c r="BG85" s="342"/>
      <c r="BH85" s="342"/>
      <c r="BI85" s="342"/>
      <c r="BJ85" s="342"/>
      <c r="BK85" s="342"/>
      <c r="BL85" s="342"/>
      <c r="BM85" s="342"/>
      <c r="BN85" s="342"/>
      <c r="BO85" s="342"/>
      <c r="BP85" s="342"/>
    </row>
    <row r="86" spans="2:68" ht="15">
      <c r="B86" s="342"/>
      <c r="C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  <c r="BB86" s="342"/>
      <c r="BC86" s="342"/>
      <c r="BD86" s="342"/>
      <c r="BE86" s="342"/>
      <c r="BF86" s="342"/>
      <c r="BG86" s="342"/>
      <c r="BH86" s="342"/>
      <c r="BI86" s="342"/>
      <c r="BJ86" s="342"/>
      <c r="BK86" s="342"/>
      <c r="BL86" s="342"/>
      <c r="BM86" s="342"/>
      <c r="BN86" s="342"/>
      <c r="BO86" s="342"/>
      <c r="BP86" s="342"/>
    </row>
    <row r="87" spans="2:68" ht="15">
      <c r="B87" s="342"/>
      <c r="C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  <c r="AP87" s="342"/>
      <c r="AQ87" s="342"/>
      <c r="AR87" s="342"/>
      <c r="AS87" s="342"/>
      <c r="AT87" s="342"/>
      <c r="AU87" s="342"/>
      <c r="AV87" s="342"/>
      <c r="AW87" s="342"/>
      <c r="AX87" s="342"/>
      <c r="AY87" s="342"/>
      <c r="AZ87" s="342"/>
      <c r="BA87" s="342"/>
      <c r="BB87" s="342"/>
      <c r="BC87" s="342"/>
      <c r="BD87" s="342"/>
      <c r="BE87" s="342"/>
      <c r="BF87" s="342"/>
      <c r="BG87" s="342"/>
      <c r="BH87" s="342"/>
      <c r="BI87" s="342"/>
      <c r="BJ87" s="342"/>
      <c r="BK87" s="342"/>
      <c r="BL87" s="342"/>
      <c r="BM87" s="342"/>
      <c r="BN87" s="342"/>
      <c r="BO87" s="342"/>
      <c r="BP87" s="342"/>
    </row>
    <row r="88" spans="2:68" ht="15">
      <c r="B88" s="342"/>
      <c r="C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  <c r="AP88" s="342"/>
      <c r="AQ88" s="342"/>
      <c r="AR88" s="342"/>
      <c r="AS88" s="342"/>
      <c r="AT88" s="342"/>
      <c r="AU88" s="342"/>
      <c r="AV88" s="342"/>
      <c r="AW88" s="342"/>
      <c r="AX88" s="342"/>
      <c r="AY88" s="342"/>
      <c r="AZ88" s="342"/>
      <c r="BA88" s="342"/>
      <c r="BB88" s="342"/>
      <c r="BC88" s="342"/>
      <c r="BD88" s="342"/>
      <c r="BE88" s="342"/>
      <c r="BF88" s="342"/>
      <c r="BG88" s="342"/>
      <c r="BH88" s="342"/>
      <c r="BI88" s="342"/>
      <c r="BJ88" s="342"/>
      <c r="BK88" s="342"/>
      <c r="BL88" s="342"/>
      <c r="BM88" s="342"/>
      <c r="BN88" s="342"/>
      <c r="BO88" s="342"/>
      <c r="BP88" s="342"/>
    </row>
    <row r="89" spans="2:68" ht="15">
      <c r="B89" s="342"/>
      <c r="C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342"/>
      <c r="AU89" s="342"/>
      <c r="AV89" s="342"/>
      <c r="AW89" s="342"/>
      <c r="AX89" s="342"/>
      <c r="AY89" s="342"/>
      <c r="AZ89" s="342"/>
      <c r="BA89" s="342"/>
      <c r="BB89" s="342"/>
      <c r="BC89" s="342"/>
      <c r="BD89" s="342"/>
      <c r="BE89" s="342"/>
      <c r="BF89" s="342"/>
      <c r="BG89" s="342"/>
      <c r="BH89" s="342"/>
      <c r="BI89" s="342"/>
      <c r="BJ89" s="342"/>
      <c r="BK89" s="342"/>
      <c r="BL89" s="342"/>
      <c r="BM89" s="342"/>
      <c r="BN89" s="342"/>
      <c r="BO89" s="342"/>
      <c r="BP89" s="342"/>
    </row>
    <row r="90" spans="2:68" ht="15">
      <c r="B90" s="342"/>
      <c r="C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  <c r="AP90" s="342"/>
      <c r="AQ90" s="342"/>
      <c r="AR90" s="342"/>
      <c r="AS90" s="342"/>
      <c r="AT90" s="342"/>
      <c r="AU90" s="342"/>
      <c r="AV90" s="342"/>
      <c r="AW90" s="342"/>
      <c r="AX90" s="342"/>
      <c r="AY90" s="342"/>
      <c r="AZ90" s="342"/>
      <c r="BA90" s="342"/>
      <c r="BB90" s="342"/>
      <c r="BC90" s="342"/>
      <c r="BD90" s="342"/>
      <c r="BE90" s="342"/>
      <c r="BF90" s="342"/>
      <c r="BG90" s="342"/>
      <c r="BH90" s="342"/>
      <c r="BI90" s="342"/>
      <c r="BJ90" s="342"/>
      <c r="BK90" s="342"/>
      <c r="BL90" s="342"/>
      <c r="BM90" s="342"/>
      <c r="BN90" s="342"/>
      <c r="BO90" s="342"/>
      <c r="BP90" s="342"/>
    </row>
    <row r="91" spans="2:68" ht="15">
      <c r="B91" s="342"/>
      <c r="C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  <c r="BC91" s="342"/>
      <c r="BD91" s="342"/>
      <c r="BE91" s="342"/>
      <c r="BF91" s="342"/>
      <c r="BG91" s="342"/>
      <c r="BH91" s="342"/>
      <c r="BI91" s="342"/>
      <c r="BJ91" s="342"/>
      <c r="BK91" s="342"/>
      <c r="BL91" s="342"/>
      <c r="BM91" s="342"/>
      <c r="BN91" s="342"/>
      <c r="BO91" s="342"/>
      <c r="BP91" s="342"/>
    </row>
    <row r="92" spans="2:68" ht="15">
      <c r="B92" s="342"/>
      <c r="C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2"/>
      <c r="AS92" s="342"/>
      <c r="AT92" s="342"/>
      <c r="AU92" s="342"/>
      <c r="AV92" s="342"/>
      <c r="AW92" s="342"/>
      <c r="AX92" s="342"/>
      <c r="AY92" s="342"/>
      <c r="AZ92" s="342"/>
      <c r="BA92" s="342"/>
      <c r="BB92" s="342"/>
      <c r="BC92" s="342"/>
      <c r="BD92" s="342"/>
      <c r="BE92" s="342"/>
      <c r="BF92" s="342"/>
      <c r="BG92" s="342"/>
      <c r="BH92" s="342"/>
      <c r="BI92" s="342"/>
      <c r="BJ92" s="342"/>
      <c r="BK92" s="342"/>
      <c r="BL92" s="342"/>
      <c r="BM92" s="342"/>
      <c r="BN92" s="342"/>
      <c r="BO92" s="342"/>
      <c r="BP92" s="342"/>
    </row>
    <row r="93" spans="2:68" ht="15">
      <c r="B93" s="342"/>
      <c r="C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  <c r="AP93" s="342"/>
      <c r="AQ93" s="342"/>
      <c r="AR93" s="342"/>
      <c r="AS93" s="342"/>
      <c r="AT93" s="342"/>
      <c r="AU93" s="342"/>
      <c r="AV93" s="342"/>
      <c r="AW93" s="342"/>
      <c r="AX93" s="342"/>
      <c r="AY93" s="342"/>
      <c r="AZ93" s="342"/>
      <c r="BA93" s="342"/>
      <c r="BB93" s="342"/>
      <c r="BC93" s="342"/>
      <c r="BD93" s="342"/>
      <c r="BE93" s="342"/>
      <c r="BF93" s="342"/>
      <c r="BG93" s="342"/>
      <c r="BH93" s="342"/>
      <c r="BI93" s="342"/>
      <c r="BJ93" s="342"/>
      <c r="BK93" s="342"/>
      <c r="BL93" s="342"/>
      <c r="BM93" s="342"/>
      <c r="BN93" s="342"/>
      <c r="BO93" s="342"/>
      <c r="BP93" s="342"/>
    </row>
    <row r="94" spans="2:68" ht="15">
      <c r="B94" s="342"/>
      <c r="C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  <c r="AO94" s="342"/>
      <c r="AP94" s="342"/>
      <c r="AQ94" s="342"/>
      <c r="AR94" s="342"/>
      <c r="AS94" s="342"/>
      <c r="AT94" s="342"/>
      <c r="AU94" s="342"/>
      <c r="AV94" s="342"/>
      <c r="AW94" s="342"/>
      <c r="AX94" s="342"/>
      <c r="AY94" s="342"/>
      <c r="AZ94" s="342"/>
      <c r="BA94" s="342"/>
      <c r="BB94" s="342"/>
      <c r="BC94" s="342"/>
      <c r="BD94" s="342"/>
      <c r="BE94" s="342"/>
      <c r="BF94" s="342"/>
      <c r="BG94" s="342"/>
      <c r="BH94" s="342"/>
      <c r="BI94" s="342"/>
      <c r="BJ94" s="342"/>
      <c r="BK94" s="342"/>
      <c r="BL94" s="342"/>
      <c r="BM94" s="342"/>
      <c r="BN94" s="342"/>
      <c r="BO94" s="342"/>
      <c r="BP94" s="342"/>
    </row>
    <row r="95" spans="2:68" ht="15">
      <c r="B95" s="342"/>
      <c r="C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  <c r="AP95" s="342"/>
      <c r="AQ95" s="342"/>
      <c r="AR95" s="342"/>
      <c r="AS95" s="342"/>
      <c r="AT95" s="342"/>
      <c r="AU95" s="342"/>
      <c r="AV95" s="342"/>
      <c r="AW95" s="342"/>
      <c r="AX95" s="342"/>
      <c r="AY95" s="342"/>
      <c r="AZ95" s="342"/>
      <c r="BA95" s="342"/>
      <c r="BB95" s="342"/>
      <c r="BC95" s="342"/>
      <c r="BD95" s="342"/>
      <c r="BE95" s="342"/>
      <c r="BF95" s="342"/>
      <c r="BG95" s="342"/>
      <c r="BH95" s="342"/>
      <c r="BI95" s="342"/>
      <c r="BJ95" s="342"/>
      <c r="BK95" s="342"/>
      <c r="BL95" s="342"/>
      <c r="BM95" s="342"/>
      <c r="BN95" s="342"/>
      <c r="BO95" s="342"/>
      <c r="BP95" s="342"/>
    </row>
    <row r="96" spans="2:68" ht="15">
      <c r="B96" s="342"/>
      <c r="C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  <c r="AO96" s="342"/>
      <c r="AP96" s="342"/>
      <c r="AQ96" s="342"/>
      <c r="AR96" s="342"/>
      <c r="AS96" s="342"/>
      <c r="AT96" s="342"/>
      <c r="AU96" s="342"/>
      <c r="AV96" s="342"/>
      <c r="AW96" s="342"/>
      <c r="AX96" s="342"/>
      <c r="AY96" s="342"/>
      <c r="AZ96" s="342"/>
      <c r="BA96" s="342"/>
      <c r="BB96" s="342"/>
      <c r="BC96" s="342"/>
      <c r="BD96" s="342"/>
      <c r="BE96" s="342"/>
      <c r="BF96" s="342"/>
      <c r="BG96" s="342"/>
      <c r="BH96" s="342"/>
      <c r="BI96" s="342"/>
      <c r="BJ96" s="342"/>
      <c r="BK96" s="342"/>
      <c r="BL96" s="342"/>
      <c r="BM96" s="342"/>
      <c r="BN96" s="342"/>
      <c r="BO96" s="342"/>
      <c r="BP96" s="342"/>
    </row>
    <row r="97" spans="2:68" ht="15">
      <c r="B97" s="342"/>
      <c r="C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  <c r="AO97" s="342"/>
      <c r="AP97" s="342"/>
      <c r="AQ97" s="342"/>
      <c r="AR97" s="342"/>
      <c r="AS97" s="342"/>
      <c r="AT97" s="342"/>
      <c r="AU97" s="342"/>
      <c r="AV97" s="342"/>
      <c r="AW97" s="342"/>
      <c r="AX97" s="342"/>
      <c r="AY97" s="342"/>
      <c r="AZ97" s="342"/>
      <c r="BA97" s="342"/>
      <c r="BB97" s="342"/>
      <c r="BC97" s="342"/>
      <c r="BD97" s="342"/>
      <c r="BE97" s="342"/>
      <c r="BF97" s="342"/>
      <c r="BG97" s="342"/>
      <c r="BH97" s="342"/>
      <c r="BI97" s="342"/>
      <c r="BJ97" s="342"/>
      <c r="BK97" s="342"/>
      <c r="BL97" s="342"/>
      <c r="BM97" s="342"/>
      <c r="BN97" s="342"/>
      <c r="BO97" s="342"/>
      <c r="BP97" s="342"/>
    </row>
    <row r="98" spans="2:68" ht="15">
      <c r="B98" s="342"/>
      <c r="C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  <c r="AP98" s="342"/>
      <c r="AQ98" s="342"/>
      <c r="AR98" s="342"/>
      <c r="AS98" s="342"/>
      <c r="AT98" s="342"/>
      <c r="AU98" s="342"/>
      <c r="AV98" s="342"/>
      <c r="AW98" s="342"/>
      <c r="AX98" s="342"/>
      <c r="AY98" s="342"/>
      <c r="AZ98" s="342"/>
      <c r="BA98" s="342"/>
      <c r="BB98" s="342"/>
      <c r="BC98" s="342"/>
      <c r="BD98" s="342"/>
      <c r="BE98" s="342"/>
      <c r="BF98" s="342"/>
      <c r="BG98" s="342"/>
      <c r="BH98" s="342"/>
      <c r="BI98" s="342"/>
      <c r="BJ98" s="342"/>
      <c r="BK98" s="342"/>
      <c r="BL98" s="342"/>
      <c r="BM98" s="342"/>
      <c r="BN98" s="342"/>
      <c r="BO98" s="342"/>
      <c r="BP98" s="342"/>
    </row>
    <row r="99" spans="2:68" ht="15">
      <c r="B99" s="342"/>
      <c r="C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  <c r="AP99" s="342"/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  <c r="BB99" s="342"/>
      <c r="BC99" s="342"/>
      <c r="BD99" s="342"/>
      <c r="BE99" s="342"/>
      <c r="BF99" s="342"/>
      <c r="BG99" s="342"/>
      <c r="BH99" s="342"/>
      <c r="BI99" s="342"/>
      <c r="BJ99" s="342"/>
      <c r="BK99" s="342"/>
      <c r="BL99" s="342"/>
      <c r="BM99" s="342"/>
      <c r="BN99" s="342"/>
      <c r="BO99" s="342"/>
      <c r="BP99" s="342"/>
    </row>
    <row r="100" spans="2:68" ht="15">
      <c r="B100" s="342"/>
      <c r="C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  <c r="AO100" s="342"/>
      <c r="AP100" s="342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342"/>
      <c r="BE100" s="342"/>
      <c r="BF100" s="342"/>
      <c r="BG100" s="342"/>
      <c r="BH100" s="342"/>
      <c r="BI100" s="342"/>
      <c r="BJ100" s="342"/>
      <c r="BK100" s="342"/>
      <c r="BL100" s="342"/>
      <c r="BM100" s="342"/>
      <c r="BN100" s="342"/>
      <c r="BO100" s="342"/>
      <c r="BP100" s="342"/>
    </row>
    <row r="101" spans="2:68" ht="15">
      <c r="B101" s="342"/>
      <c r="C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2"/>
      <c r="AV101" s="342"/>
      <c r="AW101" s="342"/>
      <c r="AX101" s="342"/>
      <c r="AY101" s="342"/>
      <c r="AZ101" s="342"/>
      <c r="BA101" s="342"/>
      <c r="BB101" s="342"/>
      <c r="BC101" s="342"/>
      <c r="BD101" s="342"/>
      <c r="BE101" s="342"/>
      <c r="BF101" s="342"/>
      <c r="BG101" s="342"/>
      <c r="BH101" s="342"/>
      <c r="BI101" s="342"/>
      <c r="BJ101" s="342"/>
      <c r="BK101" s="342"/>
      <c r="BL101" s="342"/>
      <c r="BM101" s="342"/>
      <c r="BN101" s="342"/>
      <c r="BO101" s="342"/>
      <c r="BP101" s="342"/>
    </row>
    <row r="102" spans="2:68" ht="15">
      <c r="B102" s="342"/>
      <c r="C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  <c r="AS102" s="342"/>
      <c r="AT102" s="342"/>
      <c r="AU102" s="342"/>
      <c r="AV102" s="342"/>
      <c r="AW102" s="342"/>
      <c r="AX102" s="342"/>
      <c r="AY102" s="342"/>
      <c r="AZ102" s="342"/>
      <c r="BA102" s="342"/>
      <c r="BB102" s="342"/>
      <c r="BC102" s="342"/>
      <c r="BD102" s="342"/>
      <c r="BE102" s="342"/>
      <c r="BF102" s="342"/>
      <c r="BG102" s="342"/>
      <c r="BH102" s="342"/>
      <c r="BI102" s="342"/>
      <c r="BJ102" s="342"/>
      <c r="BK102" s="342"/>
      <c r="BL102" s="342"/>
      <c r="BM102" s="342"/>
      <c r="BN102" s="342"/>
      <c r="BO102" s="342"/>
      <c r="BP102" s="342"/>
    </row>
    <row r="103" spans="2:68" ht="15">
      <c r="B103" s="342"/>
      <c r="C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  <c r="BC103" s="342"/>
      <c r="BD103" s="342"/>
      <c r="BE103" s="342"/>
      <c r="BF103" s="342"/>
      <c r="BG103" s="342"/>
      <c r="BH103" s="342"/>
      <c r="BI103" s="342"/>
      <c r="BJ103" s="342"/>
      <c r="BK103" s="342"/>
      <c r="BL103" s="342"/>
      <c r="BM103" s="342"/>
      <c r="BN103" s="342"/>
      <c r="BO103" s="342"/>
      <c r="BP103" s="342"/>
    </row>
    <row r="104" spans="2:68" ht="15">
      <c r="B104" s="342"/>
      <c r="C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342"/>
      <c r="BA104" s="342"/>
      <c r="BB104" s="342"/>
      <c r="BC104" s="342"/>
      <c r="BD104" s="342"/>
      <c r="BE104" s="342"/>
      <c r="BF104" s="342"/>
      <c r="BG104" s="342"/>
      <c r="BH104" s="342"/>
      <c r="BI104" s="342"/>
      <c r="BJ104" s="342"/>
      <c r="BK104" s="342"/>
      <c r="BL104" s="342"/>
      <c r="BM104" s="342"/>
      <c r="BN104" s="342"/>
      <c r="BO104" s="342"/>
      <c r="BP104" s="342"/>
    </row>
    <row r="105" spans="2:68" ht="15">
      <c r="B105" s="342"/>
      <c r="C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2"/>
      <c r="AP105" s="342"/>
      <c r="AQ105" s="342"/>
      <c r="AR105" s="342"/>
      <c r="AS105" s="342"/>
      <c r="AT105" s="342"/>
      <c r="AU105" s="342"/>
      <c r="AV105" s="342"/>
      <c r="AW105" s="342"/>
      <c r="AX105" s="342"/>
      <c r="AY105" s="342"/>
      <c r="AZ105" s="342"/>
      <c r="BA105" s="342"/>
      <c r="BB105" s="342"/>
      <c r="BC105" s="342"/>
      <c r="BD105" s="342"/>
      <c r="BE105" s="342"/>
      <c r="BF105" s="342"/>
      <c r="BG105" s="342"/>
      <c r="BH105" s="342"/>
      <c r="BI105" s="342"/>
      <c r="BJ105" s="342"/>
      <c r="BK105" s="342"/>
      <c r="BL105" s="342"/>
      <c r="BM105" s="342"/>
      <c r="BN105" s="342"/>
      <c r="BO105" s="342"/>
      <c r="BP105" s="342"/>
    </row>
    <row r="106" spans="2:68" ht="15">
      <c r="B106" s="342"/>
      <c r="C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  <c r="AN106" s="342"/>
      <c r="AO106" s="342"/>
      <c r="AP106" s="342"/>
      <c r="AQ106" s="342"/>
      <c r="AR106" s="342"/>
      <c r="AS106" s="342"/>
      <c r="AT106" s="342"/>
      <c r="AU106" s="342"/>
      <c r="AV106" s="342"/>
      <c r="AW106" s="342"/>
      <c r="AX106" s="342"/>
      <c r="AY106" s="342"/>
      <c r="AZ106" s="342"/>
      <c r="BA106" s="342"/>
      <c r="BB106" s="342"/>
      <c r="BC106" s="342"/>
      <c r="BD106" s="342"/>
      <c r="BE106" s="342"/>
      <c r="BF106" s="342"/>
      <c r="BG106" s="342"/>
      <c r="BH106" s="342"/>
      <c r="BI106" s="342"/>
      <c r="BJ106" s="342"/>
      <c r="BK106" s="342"/>
      <c r="BL106" s="342"/>
      <c r="BM106" s="342"/>
      <c r="BN106" s="342"/>
      <c r="BO106" s="342"/>
      <c r="BP106" s="342"/>
    </row>
    <row r="107" spans="2:68" ht="15">
      <c r="B107" s="342"/>
      <c r="C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  <c r="AP107" s="342"/>
      <c r="AQ107" s="342"/>
      <c r="AR107" s="342"/>
      <c r="AS107" s="342"/>
      <c r="AT107" s="342"/>
      <c r="AU107" s="342"/>
      <c r="AV107" s="342"/>
      <c r="AW107" s="342"/>
      <c r="AX107" s="342"/>
      <c r="AY107" s="342"/>
      <c r="AZ107" s="342"/>
      <c r="BA107" s="342"/>
      <c r="BB107" s="342"/>
      <c r="BC107" s="342"/>
      <c r="BD107" s="342"/>
      <c r="BE107" s="342"/>
      <c r="BF107" s="342"/>
      <c r="BG107" s="342"/>
      <c r="BH107" s="342"/>
      <c r="BI107" s="342"/>
      <c r="BJ107" s="342"/>
      <c r="BK107" s="342"/>
      <c r="BL107" s="342"/>
      <c r="BM107" s="342"/>
      <c r="BN107" s="342"/>
      <c r="BO107" s="342"/>
      <c r="BP107" s="342"/>
    </row>
    <row r="108" spans="2:68" ht="15">
      <c r="B108" s="342"/>
      <c r="C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2"/>
      <c r="AM108" s="342"/>
      <c r="AN108" s="342"/>
      <c r="AO108" s="342"/>
      <c r="AP108" s="342"/>
      <c r="AQ108" s="342"/>
      <c r="AR108" s="342"/>
      <c r="AS108" s="342"/>
      <c r="AT108" s="342"/>
      <c r="AU108" s="342"/>
      <c r="AV108" s="342"/>
      <c r="AW108" s="342"/>
      <c r="AX108" s="342"/>
      <c r="AY108" s="342"/>
      <c r="AZ108" s="342"/>
      <c r="BA108" s="342"/>
      <c r="BB108" s="342"/>
      <c r="BC108" s="342"/>
      <c r="BD108" s="342"/>
      <c r="BE108" s="342"/>
      <c r="BF108" s="342"/>
      <c r="BG108" s="342"/>
      <c r="BH108" s="342"/>
      <c r="BI108" s="342"/>
      <c r="BJ108" s="342"/>
      <c r="BK108" s="342"/>
      <c r="BL108" s="342"/>
      <c r="BM108" s="342"/>
      <c r="BN108" s="342"/>
      <c r="BO108" s="342"/>
      <c r="BP108" s="342"/>
    </row>
    <row r="109" spans="2:68" ht="15">
      <c r="B109" s="342"/>
      <c r="C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2"/>
      <c r="AP109" s="342"/>
      <c r="AQ109" s="342"/>
      <c r="AR109" s="342"/>
      <c r="AS109" s="342"/>
      <c r="AT109" s="342"/>
      <c r="AU109" s="342"/>
      <c r="AV109" s="342"/>
      <c r="AW109" s="342"/>
      <c r="AX109" s="342"/>
      <c r="AY109" s="342"/>
      <c r="AZ109" s="342"/>
      <c r="BA109" s="342"/>
      <c r="BB109" s="342"/>
      <c r="BC109" s="342"/>
      <c r="BD109" s="342"/>
      <c r="BE109" s="342"/>
      <c r="BF109" s="342"/>
      <c r="BG109" s="342"/>
      <c r="BH109" s="342"/>
      <c r="BI109" s="342"/>
      <c r="BJ109" s="342"/>
      <c r="BK109" s="342"/>
      <c r="BL109" s="342"/>
      <c r="BM109" s="342"/>
      <c r="BN109" s="342"/>
      <c r="BO109" s="342"/>
      <c r="BP109" s="342"/>
    </row>
    <row r="110" spans="2:68" ht="15">
      <c r="B110" s="342"/>
      <c r="C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  <c r="AN110" s="342"/>
      <c r="AO110" s="342"/>
      <c r="AP110" s="342"/>
      <c r="AQ110" s="342"/>
      <c r="AR110" s="342"/>
      <c r="AS110" s="342"/>
      <c r="AT110" s="342"/>
      <c r="AU110" s="342"/>
      <c r="AV110" s="342"/>
      <c r="AW110" s="342"/>
      <c r="AX110" s="342"/>
      <c r="AY110" s="342"/>
      <c r="AZ110" s="342"/>
      <c r="BA110" s="342"/>
      <c r="BB110" s="342"/>
      <c r="BC110" s="342"/>
      <c r="BD110" s="342"/>
      <c r="BE110" s="342"/>
      <c r="BF110" s="342"/>
      <c r="BG110" s="342"/>
      <c r="BH110" s="342"/>
      <c r="BI110" s="342"/>
      <c r="BJ110" s="342"/>
      <c r="BK110" s="342"/>
      <c r="BL110" s="342"/>
      <c r="BM110" s="342"/>
      <c r="BN110" s="342"/>
      <c r="BO110" s="342"/>
      <c r="BP110" s="342"/>
    </row>
    <row r="111" spans="2:68" ht="15">
      <c r="B111" s="342"/>
      <c r="C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  <c r="AO111" s="342"/>
      <c r="AP111" s="342"/>
      <c r="AQ111" s="342"/>
      <c r="AR111" s="342"/>
      <c r="AS111" s="342"/>
      <c r="AT111" s="342"/>
      <c r="AU111" s="342"/>
      <c r="AV111" s="342"/>
      <c r="AW111" s="342"/>
      <c r="AX111" s="342"/>
      <c r="AY111" s="342"/>
      <c r="AZ111" s="342"/>
      <c r="BA111" s="342"/>
      <c r="BB111" s="342"/>
      <c r="BC111" s="342"/>
      <c r="BD111" s="342"/>
      <c r="BE111" s="342"/>
      <c r="BF111" s="342"/>
      <c r="BG111" s="342"/>
      <c r="BH111" s="342"/>
      <c r="BI111" s="342"/>
      <c r="BJ111" s="342"/>
      <c r="BK111" s="342"/>
      <c r="BL111" s="342"/>
      <c r="BM111" s="342"/>
      <c r="BN111" s="342"/>
      <c r="BO111" s="342"/>
      <c r="BP111" s="342"/>
    </row>
    <row r="112" spans="2:68" ht="15">
      <c r="B112" s="342"/>
      <c r="C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  <c r="AO112" s="342"/>
      <c r="AP112" s="342"/>
      <c r="AQ112" s="342"/>
      <c r="AR112" s="342"/>
      <c r="AS112" s="342"/>
      <c r="AT112" s="342"/>
      <c r="AU112" s="342"/>
      <c r="AV112" s="342"/>
      <c r="AW112" s="342"/>
      <c r="AX112" s="342"/>
      <c r="AY112" s="342"/>
      <c r="AZ112" s="342"/>
      <c r="BA112" s="342"/>
      <c r="BB112" s="342"/>
      <c r="BC112" s="342"/>
      <c r="BD112" s="342"/>
      <c r="BE112" s="342"/>
      <c r="BF112" s="342"/>
      <c r="BG112" s="342"/>
      <c r="BH112" s="342"/>
      <c r="BI112" s="342"/>
      <c r="BJ112" s="342"/>
      <c r="BK112" s="342"/>
      <c r="BL112" s="342"/>
      <c r="BM112" s="342"/>
      <c r="BN112" s="342"/>
      <c r="BO112" s="342"/>
      <c r="BP112" s="342"/>
    </row>
    <row r="113" spans="2:68" ht="15">
      <c r="B113" s="342"/>
      <c r="C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2"/>
      <c r="AP113" s="342"/>
      <c r="AQ113" s="342"/>
      <c r="AR113" s="342"/>
      <c r="AS113" s="342"/>
      <c r="AT113" s="342"/>
      <c r="AU113" s="342"/>
      <c r="AV113" s="342"/>
      <c r="AW113" s="342"/>
      <c r="AX113" s="342"/>
      <c r="AY113" s="342"/>
      <c r="AZ113" s="342"/>
      <c r="BA113" s="342"/>
      <c r="BB113" s="342"/>
      <c r="BC113" s="342"/>
      <c r="BD113" s="342"/>
      <c r="BE113" s="342"/>
      <c r="BF113" s="342"/>
      <c r="BG113" s="342"/>
      <c r="BH113" s="342"/>
      <c r="BI113" s="342"/>
      <c r="BJ113" s="342"/>
      <c r="BK113" s="342"/>
      <c r="BL113" s="342"/>
      <c r="BM113" s="342"/>
      <c r="BN113" s="342"/>
      <c r="BO113" s="342"/>
      <c r="BP113" s="342"/>
    </row>
    <row r="114" spans="2:68" ht="15">
      <c r="B114" s="342"/>
      <c r="C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2"/>
      <c r="AM114" s="342"/>
      <c r="AN114" s="342"/>
      <c r="AO114" s="342"/>
      <c r="AP114" s="342"/>
      <c r="AQ114" s="342"/>
      <c r="AR114" s="342"/>
      <c r="AS114" s="342"/>
      <c r="AT114" s="342"/>
      <c r="AU114" s="342"/>
      <c r="AV114" s="342"/>
      <c r="AW114" s="342"/>
      <c r="AX114" s="342"/>
      <c r="AY114" s="342"/>
      <c r="AZ114" s="342"/>
      <c r="BA114" s="342"/>
      <c r="BB114" s="342"/>
      <c r="BC114" s="342"/>
      <c r="BD114" s="342"/>
      <c r="BE114" s="342"/>
      <c r="BF114" s="342"/>
      <c r="BG114" s="342"/>
      <c r="BH114" s="342"/>
      <c r="BI114" s="342"/>
      <c r="BJ114" s="342"/>
      <c r="BK114" s="342"/>
      <c r="BL114" s="342"/>
      <c r="BM114" s="342"/>
      <c r="BN114" s="342"/>
      <c r="BO114" s="342"/>
      <c r="BP114" s="342"/>
    </row>
    <row r="115" spans="2:68" ht="15">
      <c r="B115" s="342"/>
      <c r="C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  <c r="AO115" s="342"/>
      <c r="AP115" s="342"/>
      <c r="AQ115" s="342"/>
      <c r="AR115" s="342"/>
      <c r="AS115" s="342"/>
      <c r="AT115" s="342"/>
      <c r="AU115" s="342"/>
      <c r="AV115" s="342"/>
      <c r="AW115" s="342"/>
      <c r="AX115" s="342"/>
      <c r="AY115" s="342"/>
      <c r="AZ115" s="342"/>
      <c r="BA115" s="342"/>
      <c r="BB115" s="342"/>
      <c r="BC115" s="342"/>
      <c r="BD115" s="342"/>
      <c r="BE115" s="342"/>
      <c r="BF115" s="342"/>
      <c r="BG115" s="342"/>
      <c r="BH115" s="342"/>
      <c r="BI115" s="342"/>
      <c r="BJ115" s="342"/>
      <c r="BK115" s="342"/>
      <c r="BL115" s="342"/>
      <c r="BM115" s="342"/>
      <c r="BN115" s="342"/>
      <c r="BO115" s="342"/>
      <c r="BP115" s="342"/>
    </row>
    <row r="116" spans="2:68" ht="15">
      <c r="B116" s="342"/>
      <c r="C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  <c r="AM116" s="342"/>
      <c r="AN116" s="342"/>
      <c r="AO116" s="342"/>
      <c r="AP116" s="342"/>
      <c r="AQ116" s="342"/>
      <c r="AR116" s="342"/>
      <c r="AS116" s="342"/>
      <c r="AT116" s="342"/>
      <c r="AU116" s="342"/>
      <c r="AV116" s="342"/>
      <c r="AW116" s="342"/>
      <c r="AX116" s="342"/>
      <c r="AY116" s="342"/>
      <c r="AZ116" s="342"/>
      <c r="BA116" s="342"/>
      <c r="BB116" s="342"/>
      <c r="BC116" s="342"/>
      <c r="BD116" s="342"/>
      <c r="BE116" s="342"/>
      <c r="BF116" s="342"/>
      <c r="BG116" s="342"/>
      <c r="BH116" s="342"/>
      <c r="BI116" s="342"/>
      <c r="BJ116" s="342"/>
      <c r="BK116" s="342"/>
      <c r="BL116" s="342"/>
      <c r="BM116" s="342"/>
      <c r="BN116" s="342"/>
      <c r="BO116" s="342"/>
      <c r="BP116" s="342"/>
    </row>
    <row r="117" spans="2:68" ht="15">
      <c r="B117" s="342"/>
      <c r="C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  <c r="AP117" s="342"/>
      <c r="AQ117" s="342"/>
      <c r="AR117" s="342"/>
      <c r="AS117" s="342"/>
      <c r="AT117" s="342"/>
      <c r="AU117" s="342"/>
      <c r="AV117" s="342"/>
      <c r="AW117" s="342"/>
      <c r="AX117" s="342"/>
      <c r="AY117" s="342"/>
      <c r="AZ117" s="342"/>
      <c r="BA117" s="342"/>
      <c r="BB117" s="342"/>
      <c r="BC117" s="342"/>
      <c r="BD117" s="342"/>
      <c r="BE117" s="342"/>
      <c r="BF117" s="342"/>
      <c r="BG117" s="342"/>
      <c r="BH117" s="342"/>
      <c r="BI117" s="342"/>
      <c r="BJ117" s="342"/>
      <c r="BK117" s="342"/>
      <c r="BL117" s="342"/>
      <c r="BM117" s="342"/>
      <c r="BN117" s="342"/>
      <c r="BO117" s="342"/>
      <c r="BP117" s="342"/>
    </row>
    <row r="118" spans="2:68" ht="15">
      <c r="B118" s="342"/>
      <c r="C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  <c r="AN118" s="342"/>
      <c r="AO118" s="342"/>
      <c r="AP118" s="342"/>
      <c r="AQ118" s="342"/>
      <c r="AR118" s="342"/>
      <c r="AS118" s="342"/>
      <c r="AT118" s="342"/>
      <c r="AU118" s="342"/>
      <c r="AV118" s="342"/>
      <c r="AW118" s="342"/>
      <c r="AX118" s="342"/>
      <c r="AY118" s="342"/>
      <c r="AZ118" s="342"/>
      <c r="BA118" s="342"/>
      <c r="BB118" s="342"/>
      <c r="BC118" s="342"/>
      <c r="BD118" s="342"/>
      <c r="BE118" s="342"/>
      <c r="BF118" s="342"/>
      <c r="BG118" s="342"/>
      <c r="BH118" s="342"/>
      <c r="BI118" s="342"/>
      <c r="BJ118" s="342"/>
      <c r="BK118" s="342"/>
      <c r="BL118" s="342"/>
      <c r="BM118" s="342"/>
      <c r="BN118" s="342"/>
      <c r="BO118" s="342"/>
      <c r="BP118" s="342"/>
    </row>
    <row r="119" spans="2:68" ht="15">
      <c r="B119" s="342"/>
      <c r="C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  <c r="AP119" s="342"/>
      <c r="AQ119" s="342"/>
      <c r="AR119" s="342"/>
      <c r="AS119" s="342"/>
      <c r="AT119" s="342"/>
      <c r="AU119" s="342"/>
      <c r="AV119" s="342"/>
      <c r="AW119" s="342"/>
      <c r="AX119" s="342"/>
      <c r="AY119" s="342"/>
      <c r="AZ119" s="342"/>
      <c r="BA119" s="342"/>
      <c r="BB119" s="342"/>
      <c r="BC119" s="342"/>
      <c r="BD119" s="342"/>
      <c r="BE119" s="342"/>
      <c r="BF119" s="342"/>
      <c r="BG119" s="342"/>
      <c r="BH119" s="342"/>
      <c r="BI119" s="342"/>
      <c r="BJ119" s="342"/>
      <c r="BK119" s="342"/>
      <c r="BL119" s="342"/>
      <c r="BM119" s="342"/>
      <c r="BN119" s="342"/>
      <c r="BO119" s="342"/>
      <c r="BP119" s="342"/>
    </row>
    <row r="120" spans="2:68" ht="15">
      <c r="B120" s="342"/>
      <c r="C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  <c r="AP120" s="342"/>
      <c r="AQ120" s="342"/>
      <c r="AR120" s="342"/>
      <c r="AS120" s="342"/>
      <c r="AT120" s="342"/>
      <c r="AU120" s="342"/>
      <c r="AV120" s="342"/>
      <c r="AW120" s="342"/>
      <c r="AX120" s="342"/>
      <c r="AY120" s="342"/>
      <c r="AZ120" s="342"/>
      <c r="BA120" s="342"/>
      <c r="BB120" s="342"/>
      <c r="BC120" s="342"/>
      <c r="BD120" s="342"/>
      <c r="BE120" s="342"/>
      <c r="BF120" s="342"/>
      <c r="BG120" s="342"/>
      <c r="BH120" s="342"/>
      <c r="BI120" s="342"/>
      <c r="BJ120" s="342"/>
      <c r="BK120" s="342"/>
      <c r="BL120" s="342"/>
      <c r="BM120" s="342"/>
      <c r="BN120" s="342"/>
      <c r="BO120" s="342"/>
      <c r="BP120" s="342"/>
    </row>
    <row r="121" spans="2:68" ht="15">
      <c r="B121" s="342"/>
      <c r="C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  <c r="AR121" s="342"/>
      <c r="AS121" s="342"/>
      <c r="AT121" s="342"/>
      <c r="AU121" s="342"/>
      <c r="AV121" s="342"/>
      <c r="AW121" s="342"/>
      <c r="AX121" s="342"/>
      <c r="AY121" s="342"/>
      <c r="AZ121" s="342"/>
      <c r="BA121" s="342"/>
      <c r="BB121" s="342"/>
      <c r="BC121" s="342"/>
      <c r="BD121" s="342"/>
      <c r="BE121" s="342"/>
      <c r="BF121" s="342"/>
      <c r="BG121" s="342"/>
      <c r="BH121" s="342"/>
      <c r="BI121" s="342"/>
      <c r="BJ121" s="342"/>
      <c r="BK121" s="342"/>
      <c r="BL121" s="342"/>
      <c r="BM121" s="342"/>
      <c r="BN121" s="342"/>
      <c r="BO121" s="342"/>
      <c r="BP121" s="342"/>
    </row>
    <row r="122" spans="2:68" ht="15">
      <c r="B122" s="342"/>
      <c r="C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  <c r="AP122" s="342"/>
      <c r="AQ122" s="342"/>
      <c r="AR122" s="342"/>
      <c r="AS122" s="342"/>
      <c r="AT122" s="342"/>
      <c r="AU122" s="342"/>
      <c r="AV122" s="342"/>
      <c r="AW122" s="342"/>
      <c r="AX122" s="342"/>
      <c r="AY122" s="342"/>
      <c r="AZ122" s="342"/>
      <c r="BA122" s="342"/>
      <c r="BB122" s="342"/>
      <c r="BC122" s="342"/>
      <c r="BD122" s="342"/>
      <c r="BE122" s="342"/>
      <c r="BF122" s="342"/>
      <c r="BG122" s="342"/>
      <c r="BH122" s="342"/>
      <c r="BI122" s="342"/>
      <c r="BJ122" s="342"/>
      <c r="BK122" s="342"/>
      <c r="BL122" s="342"/>
      <c r="BM122" s="342"/>
      <c r="BN122" s="342"/>
      <c r="BO122" s="342"/>
      <c r="BP122" s="342"/>
    </row>
    <row r="123" spans="2:68" ht="15">
      <c r="B123" s="342"/>
      <c r="C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  <c r="AM123" s="342"/>
      <c r="AN123" s="342"/>
      <c r="AO123" s="342"/>
      <c r="AP123" s="342"/>
      <c r="AQ123" s="342"/>
      <c r="AR123" s="342"/>
      <c r="AS123" s="342"/>
      <c r="AT123" s="342"/>
      <c r="AU123" s="342"/>
      <c r="AV123" s="342"/>
      <c r="AW123" s="342"/>
      <c r="AX123" s="342"/>
      <c r="AY123" s="342"/>
      <c r="AZ123" s="342"/>
      <c r="BA123" s="342"/>
      <c r="BB123" s="342"/>
      <c r="BC123" s="342"/>
      <c r="BD123" s="342"/>
      <c r="BE123" s="342"/>
      <c r="BF123" s="342"/>
      <c r="BG123" s="342"/>
      <c r="BH123" s="342"/>
      <c r="BI123" s="342"/>
      <c r="BJ123" s="342"/>
      <c r="BK123" s="342"/>
      <c r="BL123" s="342"/>
      <c r="BM123" s="342"/>
      <c r="BN123" s="342"/>
      <c r="BO123" s="342"/>
      <c r="BP123" s="342"/>
    </row>
    <row r="124" spans="2:68" ht="15">
      <c r="B124" s="342"/>
      <c r="C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342"/>
      <c r="AH124" s="342"/>
      <c r="AI124" s="342"/>
      <c r="AJ124" s="342"/>
      <c r="AK124" s="342"/>
      <c r="AL124" s="342"/>
      <c r="AM124" s="342"/>
      <c r="AN124" s="342"/>
      <c r="AO124" s="342"/>
      <c r="AP124" s="342"/>
      <c r="AQ124" s="342"/>
      <c r="AR124" s="342"/>
      <c r="AS124" s="342"/>
      <c r="AT124" s="342"/>
      <c r="AU124" s="342"/>
      <c r="AV124" s="342"/>
      <c r="AW124" s="342"/>
      <c r="AX124" s="342"/>
      <c r="AY124" s="342"/>
      <c r="AZ124" s="342"/>
      <c r="BA124" s="342"/>
      <c r="BB124" s="342"/>
      <c r="BC124" s="342"/>
      <c r="BD124" s="342"/>
      <c r="BE124" s="342"/>
      <c r="BF124" s="342"/>
      <c r="BG124" s="342"/>
      <c r="BH124" s="342"/>
      <c r="BI124" s="342"/>
      <c r="BJ124" s="342"/>
      <c r="BK124" s="342"/>
      <c r="BL124" s="342"/>
      <c r="BM124" s="342"/>
      <c r="BN124" s="342"/>
      <c r="BO124" s="342"/>
      <c r="BP124" s="342"/>
    </row>
    <row r="125" spans="2:68" ht="15">
      <c r="B125" s="342"/>
      <c r="C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42"/>
      <c r="AN125" s="342"/>
      <c r="AO125" s="342"/>
      <c r="AP125" s="342"/>
      <c r="AQ125" s="342"/>
      <c r="AR125" s="342"/>
      <c r="AS125" s="342"/>
      <c r="AT125" s="342"/>
      <c r="AU125" s="342"/>
      <c r="AV125" s="342"/>
      <c r="AW125" s="342"/>
      <c r="AX125" s="342"/>
      <c r="AY125" s="342"/>
      <c r="AZ125" s="342"/>
      <c r="BA125" s="342"/>
      <c r="BB125" s="342"/>
      <c r="BC125" s="342"/>
      <c r="BD125" s="342"/>
      <c r="BE125" s="342"/>
      <c r="BF125" s="342"/>
      <c r="BG125" s="342"/>
      <c r="BH125" s="342"/>
      <c r="BI125" s="342"/>
      <c r="BJ125" s="342"/>
      <c r="BK125" s="342"/>
      <c r="BL125" s="342"/>
      <c r="BM125" s="342"/>
      <c r="BN125" s="342"/>
      <c r="BO125" s="342"/>
      <c r="BP125" s="342"/>
    </row>
    <row r="126" spans="2:68" ht="15">
      <c r="B126" s="342"/>
      <c r="C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  <c r="AI126" s="342"/>
      <c r="AJ126" s="342"/>
      <c r="AK126" s="342"/>
      <c r="AL126" s="342"/>
      <c r="AM126" s="342"/>
      <c r="AN126" s="342"/>
      <c r="AO126" s="342"/>
      <c r="AP126" s="342"/>
      <c r="AQ126" s="342"/>
      <c r="AR126" s="342"/>
      <c r="AS126" s="342"/>
      <c r="AT126" s="342"/>
      <c r="AU126" s="342"/>
      <c r="AV126" s="342"/>
      <c r="AW126" s="342"/>
      <c r="AX126" s="342"/>
      <c r="AY126" s="342"/>
      <c r="AZ126" s="342"/>
      <c r="BA126" s="342"/>
      <c r="BB126" s="342"/>
      <c r="BC126" s="342"/>
      <c r="BD126" s="342"/>
      <c r="BE126" s="342"/>
      <c r="BF126" s="342"/>
      <c r="BG126" s="342"/>
      <c r="BH126" s="342"/>
      <c r="BI126" s="342"/>
      <c r="BJ126" s="342"/>
      <c r="BK126" s="342"/>
      <c r="BL126" s="342"/>
      <c r="BM126" s="342"/>
      <c r="BN126" s="342"/>
      <c r="BO126" s="342"/>
      <c r="BP126" s="342"/>
    </row>
    <row r="127" spans="2:68" ht="15">
      <c r="B127" s="342"/>
      <c r="C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42"/>
      <c r="AN127" s="342"/>
      <c r="AO127" s="342"/>
      <c r="AP127" s="342"/>
      <c r="AQ127" s="342"/>
      <c r="AR127" s="342"/>
      <c r="AS127" s="342"/>
      <c r="AT127" s="342"/>
      <c r="AU127" s="342"/>
      <c r="AV127" s="342"/>
      <c r="AW127" s="342"/>
      <c r="AX127" s="342"/>
      <c r="AY127" s="342"/>
      <c r="AZ127" s="342"/>
      <c r="BA127" s="342"/>
      <c r="BB127" s="342"/>
      <c r="BC127" s="342"/>
      <c r="BD127" s="342"/>
      <c r="BE127" s="342"/>
      <c r="BF127" s="342"/>
      <c r="BG127" s="342"/>
      <c r="BH127" s="342"/>
      <c r="BI127" s="342"/>
      <c r="BJ127" s="342"/>
      <c r="BK127" s="342"/>
      <c r="BL127" s="342"/>
      <c r="BM127" s="342"/>
      <c r="BN127" s="342"/>
      <c r="BO127" s="342"/>
      <c r="BP127" s="342"/>
    </row>
    <row r="128" spans="2:68" ht="15">
      <c r="B128" s="342"/>
      <c r="C128" s="342"/>
      <c r="F128" s="342"/>
      <c r="G128" s="342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42"/>
      <c r="AH128" s="342"/>
      <c r="AI128" s="342"/>
      <c r="AJ128" s="342"/>
      <c r="AK128" s="342"/>
      <c r="AL128" s="342"/>
      <c r="AM128" s="342"/>
      <c r="AN128" s="342"/>
      <c r="AO128" s="342"/>
      <c r="AP128" s="342"/>
      <c r="AQ128" s="342"/>
      <c r="AR128" s="342"/>
      <c r="AS128" s="342"/>
      <c r="AT128" s="342"/>
      <c r="AU128" s="342"/>
      <c r="AV128" s="342"/>
      <c r="AW128" s="342"/>
      <c r="AX128" s="342"/>
      <c r="AY128" s="342"/>
      <c r="AZ128" s="342"/>
      <c r="BA128" s="342"/>
      <c r="BB128" s="342"/>
      <c r="BC128" s="342"/>
      <c r="BD128" s="342"/>
      <c r="BE128" s="342"/>
      <c r="BF128" s="342"/>
      <c r="BG128" s="342"/>
      <c r="BH128" s="342"/>
      <c r="BI128" s="342"/>
      <c r="BJ128" s="342"/>
      <c r="BK128" s="342"/>
      <c r="BL128" s="342"/>
      <c r="BM128" s="342"/>
      <c r="BN128" s="342"/>
      <c r="BO128" s="342"/>
      <c r="BP128" s="342"/>
    </row>
    <row r="129" spans="2:68" ht="15">
      <c r="B129" s="342"/>
      <c r="C129" s="342"/>
      <c r="F129" s="342"/>
      <c r="G129" s="342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342"/>
      <c r="AK129" s="342"/>
      <c r="AL129" s="342"/>
      <c r="AM129" s="342"/>
      <c r="AN129" s="342"/>
      <c r="AO129" s="342"/>
      <c r="AP129" s="342"/>
      <c r="AQ129" s="342"/>
      <c r="AR129" s="342"/>
      <c r="AS129" s="342"/>
      <c r="AT129" s="342"/>
      <c r="AU129" s="342"/>
      <c r="AV129" s="342"/>
      <c r="AW129" s="342"/>
      <c r="AX129" s="342"/>
      <c r="AY129" s="342"/>
      <c r="AZ129" s="342"/>
      <c r="BA129" s="342"/>
      <c r="BB129" s="342"/>
      <c r="BC129" s="342"/>
      <c r="BD129" s="342"/>
      <c r="BE129" s="342"/>
      <c r="BF129" s="342"/>
      <c r="BG129" s="342"/>
      <c r="BH129" s="342"/>
      <c r="BI129" s="342"/>
      <c r="BJ129" s="342"/>
      <c r="BK129" s="342"/>
      <c r="BL129" s="342"/>
      <c r="BM129" s="342"/>
      <c r="BN129" s="342"/>
      <c r="BO129" s="342"/>
      <c r="BP129" s="342"/>
    </row>
    <row r="130" spans="2:68" ht="15">
      <c r="B130" s="342"/>
      <c r="C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2"/>
      <c r="AB130" s="342"/>
      <c r="AC130" s="342"/>
      <c r="AD130" s="342"/>
      <c r="AE130" s="342"/>
      <c r="AF130" s="342"/>
      <c r="AG130" s="342"/>
      <c r="AH130" s="342"/>
      <c r="AI130" s="342"/>
      <c r="AJ130" s="342"/>
      <c r="AK130" s="342"/>
      <c r="AL130" s="342"/>
      <c r="AM130" s="342"/>
      <c r="AN130" s="342"/>
      <c r="AO130" s="342"/>
      <c r="AP130" s="342"/>
      <c r="AQ130" s="342"/>
      <c r="AR130" s="342"/>
      <c r="AS130" s="342"/>
      <c r="AT130" s="342"/>
      <c r="AU130" s="342"/>
      <c r="AV130" s="342"/>
      <c r="AW130" s="342"/>
      <c r="AX130" s="342"/>
      <c r="AY130" s="342"/>
      <c r="AZ130" s="342"/>
      <c r="BA130" s="342"/>
      <c r="BB130" s="342"/>
      <c r="BC130" s="342"/>
      <c r="BD130" s="342"/>
      <c r="BE130" s="342"/>
      <c r="BF130" s="342"/>
      <c r="BG130" s="342"/>
      <c r="BH130" s="342"/>
      <c r="BI130" s="342"/>
      <c r="BJ130" s="342"/>
      <c r="BK130" s="342"/>
      <c r="BL130" s="342"/>
      <c r="BM130" s="342"/>
      <c r="BN130" s="342"/>
      <c r="BO130" s="342"/>
      <c r="BP130" s="342"/>
    </row>
    <row r="131" spans="2:68" ht="15">
      <c r="B131" s="342"/>
      <c r="C131" s="342"/>
      <c r="F131" s="342"/>
      <c r="G131" s="342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  <c r="AN131" s="342"/>
      <c r="AO131" s="342"/>
      <c r="AP131" s="342"/>
      <c r="AQ131" s="342"/>
      <c r="AR131" s="342"/>
      <c r="AS131" s="342"/>
      <c r="AT131" s="342"/>
      <c r="AU131" s="342"/>
      <c r="AV131" s="342"/>
      <c r="AW131" s="342"/>
      <c r="AX131" s="342"/>
      <c r="AY131" s="342"/>
      <c r="AZ131" s="342"/>
      <c r="BA131" s="342"/>
      <c r="BB131" s="342"/>
      <c r="BC131" s="342"/>
      <c r="BD131" s="342"/>
      <c r="BE131" s="342"/>
      <c r="BF131" s="342"/>
      <c r="BG131" s="342"/>
      <c r="BH131" s="342"/>
      <c r="BI131" s="342"/>
      <c r="BJ131" s="342"/>
      <c r="BK131" s="342"/>
      <c r="BL131" s="342"/>
      <c r="BM131" s="342"/>
      <c r="BN131" s="342"/>
      <c r="BO131" s="342"/>
      <c r="BP131" s="342"/>
    </row>
    <row r="132" spans="2:68" ht="15">
      <c r="B132" s="342"/>
      <c r="C132" s="342"/>
      <c r="F132" s="342"/>
      <c r="G132" s="342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  <c r="AC132" s="342"/>
      <c r="AD132" s="342"/>
      <c r="AE132" s="342"/>
      <c r="AF132" s="342"/>
      <c r="AG132" s="342"/>
      <c r="AH132" s="342"/>
      <c r="AI132" s="342"/>
      <c r="AJ132" s="342"/>
      <c r="AK132" s="342"/>
      <c r="AL132" s="342"/>
      <c r="AM132" s="342"/>
      <c r="AN132" s="342"/>
      <c r="AO132" s="342"/>
      <c r="AP132" s="342"/>
      <c r="AQ132" s="342"/>
      <c r="AR132" s="342"/>
      <c r="AS132" s="342"/>
      <c r="AT132" s="342"/>
      <c r="AU132" s="342"/>
      <c r="AV132" s="342"/>
      <c r="AW132" s="342"/>
      <c r="AX132" s="342"/>
      <c r="AY132" s="342"/>
      <c r="AZ132" s="342"/>
      <c r="BA132" s="342"/>
      <c r="BB132" s="342"/>
      <c r="BC132" s="342"/>
      <c r="BD132" s="342"/>
      <c r="BE132" s="342"/>
      <c r="BF132" s="342"/>
      <c r="BG132" s="342"/>
      <c r="BH132" s="342"/>
      <c r="BI132" s="342"/>
      <c r="BJ132" s="342"/>
      <c r="BK132" s="342"/>
      <c r="BL132" s="342"/>
      <c r="BM132" s="342"/>
      <c r="BN132" s="342"/>
      <c r="BO132" s="342"/>
      <c r="BP132" s="342"/>
    </row>
    <row r="133" spans="2:68" ht="15">
      <c r="B133" s="342"/>
      <c r="C133" s="342"/>
      <c r="F133" s="342"/>
      <c r="G133" s="342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342"/>
      <c r="AK133" s="342"/>
      <c r="AL133" s="342"/>
      <c r="AM133" s="342"/>
      <c r="AN133" s="342"/>
      <c r="AO133" s="342"/>
      <c r="AP133" s="342"/>
      <c r="AQ133" s="342"/>
      <c r="AR133" s="342"/>
      <c r="AS133" s="342"/>
      <c r="AT133" s="342"/>
      <c r="AU133" s="342"/>
      <c r="AV133" s="342"/>
      <c r="AW133" s="342"/>
      <c r="AX133" s="342"/>
      <c r="AY133" s="342"/>
      <c r="AZ133" s="342"/>
      <c r="BA133" s="342"/>
      <c r="BB133" s="342"/>
      <c r="BC133" s="342"/>
      <c r="BD133" s="342"/>
      <c r="BE133" s="342"/>
      <c r="BF133" s="342"/>
      <c r="BG133" s="342"/>
      <c r="BH133" s="342"/>
      <c r="BI133" s="342"/>
      <c r="BJ133" s="342"/>
      <c r="BK133" s="342"/>
      <c r="BL133" s="342"/>
      <c r="BM133" s="342"/>
      <c r="BN133" s="342"/>
      <c r="BO133" s="342"/>
      <c r="BP133" s="342"/>
    </row>
    <row r="134" spans="2:68" ht="15">
      <c r="B134" s="342"/>
      <c r="C134" s="342"/>
      <c r="F134" s="342"/>
      <c r="G134" s="342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  <c r="AC134" s="342"/>
      <c r="AD134" s="342"/>
      <c r="AE134" s="342"/>
      <c r="AF134" s="342"/>
      <c r="AG134" s="342"/>
      <c r="AH134" s="342"/>
      <c r="AI134" s="342"/>
      <c r="AJ134" s="342"/>
      <c r="AK134" s="342"/>
      <c r="AL134" s="342"/>
      <c r="AM134" s="342"/>
      <c r="AN134" s="342"/>
      <c r="AO134" s="342"/>
      <c r="AP134" s="342"/>
      <c r="AQ134" s="342"/>
      <c r="AR134" s="342"/>
      <c r="AS134" s="342"/>
      <c r="AT134" s="342"/>
      <c r="AU134" s="342"/>
      <c r="AV134" s="342"/>
      <c r="AW134" s="342"/>
      <c r="AX134" s="342"/>
      <c r="AY134" s="342"/>
      <c r="AZ134" s="342"/>
      <c r="BA134" s="342"/>
      <c r="BB134" s="342"/>
      <c r="BC134" s="342"/>
      <c r="BD134" s="342"/>
      <c r="BE134" s="342"/>
      <c r="BF134" s="342"/>
      <c r="BG134" s="342"/>
      <c r="BH134" s="342"/>
      <c r="BI134" s="342"/>
      <c r="BJ134" s="342"/>
      <c r="BK134" s="342"/>
      <c r="BL134" s="342"/>
      <c r="BM134" s="342"/>
      <c r="BN134" s="342"/>
      <c r="BO134" s="342"/>
      <c r="BP134" s="342"/>
    </row>
    <row r="135" spans="2:68" ht="15">
      <c r="B135" s="342"/>
      <c r="C135" s="342"/>
      <c r="F135" s="342"/>
      <c r="G135" s="342"/>
      <c r="H135" s="342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42"/>
      <c r="AH135" s="342"/>
      <c r="AI135" s="342"/>
      <c r="AJ135" s="342"/>
      <c r="AK135" s="342"/>
      <c r="AL135" s="342"/>
      <c r="AM135" s="342"/>
      <c r="AN135" s="342"/>
      <c r="AO135" s="342"/>
      <c r="AP135" s="342"/>
      <c r="AQ135" s="342"/>
      <c r="AR135" s="342"/>
      <c r="AS135" s="342"/>
      <c r="AT135" s="342"/>
      <c r="AU135" s="342"/>
      <c r="AV135" s="342"/>
      <c r="AW135" s="342"/>
      <c r="AX135" s="342"/>
      <c r="AY135" s="342"/>
      <c r="AZ135" s="342"/>
      <c r="BA135" s="342"/>
      <c r="BB135" s="342"/>
      <c r="BC135" s="342"/>
      <c r="BD135" s="342"/>
      <c r="BE135" s="342"/>
      <c r="BF135" s="342"/>
      <c r="BG135" s="342"/>
      <c r="BH135" s="342"/>
      <c r="BI135" s="342"/>
      <c r="BJ135" s="342"/>
      <c r="BK135" s="342"/>
      <c r="BL135" s="342"/>
      <c r="BM135" s="342"/>
      <c r="BN135" s="342"/>
      <c r="BO135" s="342"/>
      <c r="BP135" s="342"/>
    </row>
    <row r="136" spans="2:68" ht="15">
      <c r="B136" s="342"/>
      <c r="C136" s="342"/>
      <c r="F136" s="342"/>
      <c r="G136" s="342"/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  <c r="AC136" s="342"/>
      <c r="AD136" s="342"/>
      <c r="AE136" s="342"/>
      <c r="AF136" s="342"/>
      <c r="AG136" s="342"/>
      <c r="AH136" s="342"/>
      <c r="AI136" s="342"/>
      <c r="AJ136" s="342"/>
      <c r="AK136" s="342"/>
      <c r="AL136" s="342"/>
      <c r="AM136" s="342"/>
      <c r="AN136" s="342"/>
      <c r="AO136" s="342"/>
      <c r="AP136" s="342"/>
      <c r="AQ136" s="342"/>
      <c r="AR136" s="342"/>
      <c r="AS136" s="342"/>
      <c r="AT136" s="342"/>
      <c r="AU136" s="342"/>
      <c r="AV136" s="342"/>
      <c r="AW136" s="342"/>
      <c r="AX136" s="342"/>
      <c r="AY136" s="342"/>
      <c r="AZ136" s="342"/>
      <c r="BA136" s="342"/>
      <c r="BB136" s="342"/>
      <c r="BC136" s="342"/>
      <c r="BD136" s="342"/>
      <c r="BE136" s="342"/>
      <c r="BF136" s="342"/>
      <c r="BG136" s="342"/>
      <c r="BH136" s="342"/>
      <c r="BI136" s="342"/>
      <c r="BJ136" s="342"/>
      <c r="BK136" s="342"/>
      <c r="BL136" s="342"/>
      <c r="BM136" s="342"/>
      <c r="BN136" s="342"/>
      <c r="BO136" s="342"/>
      <c r="BP136" s="342"/>
    </row>
    <row r="137" spans="2:68" ht="15">
      <c r="B137" s="342"/>
      <c r="C137" s="342"/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42"/>
      <c r="AJ137" s="342"/>
      <c r="AK137" s="342"/>
      <c r="AL137" s="342"/>
      <c r="AM137" s="342"/>
      <c r="AN137" s="342"/>
      <c r="AO137" s="342"/>
      <c r="AP137" s="342"/>
      <c r="AQ137" s="342"/>
      <c r="AR137" s="342"/>
      <c r="AS137" s="342"/>
      <c r="AT137" s="342"/>
      <c r="AU137" s="342"/>
      <c r="AV137" s="342"/>
      <c r="AW137" s="342"/>
      <c r="AX137" s="342"/>
      <c r="AY137" s="342"/>
      <c r="AZ137" s="342"/>
      <c r="BA137" s="342"/>
      <c r="BB137" s="342"/>
      <c r="BC137" s="342"/>
      <c r="BD137" s="342"/>
      <c r="BE137" s="342"/>
      <c r="BF137" s="342"/>
      <c r="BG137" s="342"/>
      <c r="BH137" s="342"/>
      <c r="BI137" s="342"/>
      <c r="BJ137" s="342"/>
      <c r="BK137" s="342"/>
      <c r="BL137" s="342"/>
      <c r="BM137" s="342"/>
      <c r="BN137" s="342"/>
      <c r="BO137" s="342"/>
      <c r="BP137" s="342"/>
    </row>
    <row r="138" spans="2:68" ht="15">
      <c r="B138" s="342"/>
      <c r="C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  <c r="AO138" s="342"/>
      <c r="AP138" s="342"/>
      <c r="AQ138" s="342"/>
      <c r="AR138" s="342"/>
      <c r="AS138" s="342"/>
      <c r="AT138" s="342"/>
      <c r="AU138" s="342"/>
      <c r="AV138" s="342"/>
      <c r="AW138" s="342"/>
      <c r="AX138" s="342"/>
      <c r="AY138" s="342"/>
      <c r="AZ138" s="342"/>
      <c r="BA138" s="342"/>
      <c r="BB138" s="342"/>
      <c r="BC138" s="342"/>
      <c r="BD138" s="342"/>
      <c r="BE138" s="342"/>
      <c r="BF138" s="342"/>
      <c r="BG138" s="342"/>
      <c r="BH138" s="342"/>
      <c r="BI138" s="342"/>
      <c r="BJ138" s="342"/>
      <c r="BK138" s="342"/>
      <c r="BL138" s="342"/>
      <c r="BM138" s="342"/>
      <c r="BN138" s="342"/>
      <c r="BO138" s="342"/>
      <c r="BP138" s="342"/>
    </row>
    <row r="139" spans="2:68" ht="15">
      <c r="B139" s="342"/>
      <c r="C139" s="342"/>
      <c r="F139" s="342"/>
      <c r="G139" s="342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Q139" s="342"/>
      <c r="AR139" s="342"/>
      <c r="AS139" s="342"/>
      <c r="AT139" s="342"/>
      <c r="AU139" s="342"/>
      <c r="AV139" s="342"/>
      <c r="AW139" s="342"/>
      <c r="AX139" s="342"/>
      <c r="AY139" s="342"/>
      <c r="AZ139" s="342"/>
      <c r="BA139" s="342"/>
      <c r="BB139" s="342"/>
      <c r="BC139" s="342"/>
      <c r="BD139" s="342"/>
      <c r="BE139" s="342"/>
      <c r="BF139" s="342"/>
      <c r="BG139" s="342"/>
      <c r="BH139" s="342"/>
      <c r="BI139" s="342"/>
      <c r="BJ139" s="342"/>
      <c r="BK139" s="342"/>
      <c r="BL139" s="342"/>
      <c r="BM139" s="342"/>
      <c r="BN139" s="342"/>
      <c r="BO139" s="342"/>
      <c r="BP139" s="342"/>
    </row>
    <row r="140" spans="2:68" ht="15">
      <c r="B140" s="342"/>
      <c r="C140" s="342"/>
      <c r="F140" s="342"/>
      <c r="G140" s="342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  <c r="AV140" s="342"/>
      <c r="AW140" s="342"/>
      <c r="AX140" s="342"/>
      <c r="AY140" s="342"/>
      <c r="AZ140" s="342"/>
      <c r="BA140" s="342"/>
      <c r="BB140" s="342"/>
      <c r="BC140" s="342"/>
      <c r="BD140" s="342"/>
      <c r="BE140" s="342"/>
      <c r="BF140" s="342"/>
      <c r="BG140" s="342"/>
      <c r="BH140" s="342"/>
      <c r="BI140" s="342"/>
      <c r="BJ140" s="342"/>
      <c r="BK140" s="342"/>
      <c r="BL140" s="342"/>
      <c r="BM140" s="342"/>
      <c r="BN140" s="342"/>
      <c r="BO140" s="342"/>
      <c r="BP140" s="342"/>
    </row>
    <row r="141" spans="2:68" ht="15">
      <c r="B141" s="342"/>
      <c r="C141" s="342"/>
      <c r="F141" s="342"/>
      <c r="G141" s="342"/>
      <c r="H141" s="342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342"/>
      <c r="AJ141" s="342"/>
      <c r="AK141" s="342"/>
      <c r="AL141" s="342"/>
      <c r="AM141" s="342"/>
      <c r="AN141" s="342"/>
      <c r="AO141" s="342"/>
      <c r="AP141" s="342"/>
      <c r="AQ141" s="342"/>
      <c r="AR141" s="342"/>
      <c r="AS141" s="342"/>
      <c r="AT141" s="342"/>
      <c r="AU141" s="342"/>
      <c r="AV141" s="342"/>
      <c r="AW141" s="342"/>
      <c r="AX141" s="342"/>
      <c r="AY141" s="342"/>
      <c r="AZ141" s="342"/>
      <c r="BA141" s="342"/>
      <c r="BB141" s="342"/>
      <c r="BC141" s="342"/>
      <c r="BD141" s="342"/>
      <c r="BE141" s="342"/>
      <c r="BF141" s="342"/>
      <c r="BG141" s="342"/>
      <c r="BH141" s="342"/>
      <c r="BI141" s="342"/>
      <c r="BJ141" s="342"/>
      <c r="BK141" s="342"/>
      <c r="BL141" s="342"/>
      <c r="BM141" s="342"/>
      <c r="BN141" s="342"/>
      <c r="BO141" s="342"/>
      <c r="BP141" s="342"/>
    </row>
    <row r="142" spans="2:68" ht="15">
      <c r="B142" s="342"/>
      <c r="C142" s="342"/>
      <c r="F142" s="342"/>
      <c r="G142" s="342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  <c r="AC142" s="342"/>
      <c r="AD142" s="342"/>
      <c r="AE142" s="342"/>
      <c r="AF142" s="342"/>
      <c r="AG142" s="342"/>
      <c r="AH142" s="342"/>
      <c r="AI142" s="342"/>
      <c r="AJ142" s="342"/>
      <c r="AK142" s="342"/>
      <c r="AL142" s="342"/>
      <c r="AM142" s="342"/>
      <c r="AN142" s="342"/>
      <c r="AO142" s="342"/>
      <c r="AP142" s="342"/>
      <c r="AQ142" s="342"/>
      <c r="AR142" s="342"/>
      <c r="AS142" s="342"/>
      <c r="AT142" s="342"/>
      <c r="AU142" s="342"/>
      <c r="AV142" s="342"/>
      <c r="AW142" s="342"/>
      <c r="AX142" s="342"/>
      <c r="AY142" s="342"/>
      <c r="AZ142" s="342"/>
      <c r="BA142" s="342"/>
      <c r="BB142" s="342"/>
      <c r="BC142" s="342"/>
      <c r="BD142" s="342"/>
      <c r="BE142" s="342"/>
      <c r="BF142" s="342"/>
      <c r="BG142" s="342"/>
      <c r="BH142" s="342"/>
      <c r="BI142" s="342"/>
      <c r="BJ142" s="342"/>
      <c r="BK142" s="342"/>
      <c r="BL142" s="342"/>
      <c r="BM142" s="342"/>
      <c r="BN142" s="342"/>
      <c r="BO142" s="342"/>
      <c r="BP142" s="342"/>
    </row>
    <row r="143" spans="2:68" ht="15">
      <c r="B143" s="342"/>
      <c r="C143" s="342"/>
      <c r="F143" s="342"/>
      <c r="G143" s="342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42"/>
      <c r="AC143" s="342"/>
      <c r="AD143" s="342"/>
      <c r="AE143" s="342"/>
      <c r="AF143" s="342"/>
      <c r="AG143" s="342"/>
      <c r="AH143" s="342"/>
      <c r="AI143" s="342"/>
      <c r="AJ143" s="342"/>
      <c r="AK143" s="342"/>
      <c r="AL143" s="342"/>
      <c r="AM143" s="342"/>
      <c r="AN143" s="342"/>
      <c r="AO143" s="342"/>
      <c r="AP143" s="342"/>
      <c r="AQ143" s="342"/>
      <c r="AR143" s="342"/>
      <c r="AS143" s="342"/>
      <c r="AT143" s="342"/>
      <c r="AU143" s="342"/>
      <c r="AV143" s="342"/>
      <c r="AW143" s="342"/>
      <c r="AX143" s="342"/>
      <c r="AY143" s="342"/>
      <c r="AZ143" s="342"/>
      <c r="BA143" s="342"/>
      <c r="BB143" s="342"/>
      <c r="BC143" s="342"/>
      <c r="BD143" s="342"/>
      <c r="BE143" s="342"/>
      <c r="BF143" s="342"/>
      <c r="BG143" s="342"/>
      <c r="BH143" s="342"/>
      <c r="BI143" s="342"/>
      <c r="BJ143" s="342"/>
      <c r="BK143" s="342"/>
      <c r="BL143" s="342"/>
      <c r="BM143" s="342"/>
      <c r="BN143" s="342"/>
      <c r="BO143" s="342"/>
      <c r="BP143" s="342"/>
    </row>
    <row r="144" spans="2:68" ht="15">
      <c r="B144" s="342"/>
      <c r="C144" s="342"/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  <c r="AN144" s="342"/>
      <c r="AO144" s="342"/>
      <c r="AP144" s="342"/>
      <c r="AQ144" s="342"/>
      <c r="AR144" s="342"/>
      <c r="AS144" s="342"/>
      <c r="AT144" s="342"/>
      <c r="AU144" s="342"/>
      <c r="AV144" s="342"/>
      <c r="AW144" s="342"/>
      <c r="AX144" s="342"/>
      <c r="AY144" s="342"/>
      <c r="AZ144" s="342"/>
      <c r="BA144" s="342"/>
      <c r="BB144" s="342"/>
      <c r="BC144" s="342"/>
      <c r="BD144" s="342"/>
      <c r="BE144" s="342"/>
      <c r="BF144" s="342"/>
      <c r="BG144" s="342"/>
      <c r="BH144" s="342"/>
      <c r="BI144" s="342"/>
      <c r="BJ144" s="342"/>
      <c r="BK144" s="342"/>
      <c r="BL144" s="342"/>
      <c r="BM144" s="342"/>
      <c r="BN144" s="342"/>
      <c r="BO144" s="342"/>
      <c r="BP144" s="342"/>
    </row>
    <row r="145" spans="2:68" ht="15">
      <c r="B145" s="342"/>
      <c r="C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  <c r="AN145" s="342"/>
      <c r="AO145" s="342"/>
      <c r="AP145" s="342"/>
      <c r="AQ145" s="342"/>
      <c r="AR145" s="342"/>
      <c r="AS145" s="342"/>
      <c r="AT145" s="342"/>
      <c r="AU145" s="342"/>
      <c r="AV145" s="342"/>
      <c r="AW145" s="342"/>
      <c r="AX145" s="342"/>
      <c r="AY145" s="342"/>
      <c r="AZ145" s="342"/>
      <c r="BA145" s="342"/>
      <c r="BB145" s="342"/>
      <c r="BC145" s="342"/>
      <c r="BD145" s="342"/>
      <c r="BE145" s="342"/>
      <c r="BF145" s="342"/>
      <c r="BG145" s="342"/>
      <c r="BH145" s="342"/>
      <c r="BI145" s="342"/>
      <c r="BJ145" s="342"/>
      <c r="BK145" s="342"/>
      <c r="BL145" s="342"/>
      <c r="BM145" s="342"/>
      <c r="BN145" s="342"/>
      <c r="BO145" s="342"/>
      <c r="BP145" s="342"/>
    </row>
    <row r="146" spans="2:68" ht="15">
      <c r="B146" s="342"/>
      <c r="C146" s="342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  <c r="AO146" s="342"/>
      <c r="AP146" s="342"/>
      <c r="AQ146" s="342"/>
      <c r="AR146" s="342"/>
      <c r="AS146" s="342"/>
      <c r="AT146" s="342"/>
      <c r="AU146" s="342"/>
      <c r="AV146" s="342"/>
      <c r="AW146" s="342"/>
      <c r="AX146" s="342"/>
      <c r="AY146" s="342"/>
      <c r="AZ146" s="342"/>
      <c r="BA146" s="342"/>
      <c r="BB146" s="342"/>
      <c r="BC146" s="342"/>
      <c r="BD146" s="342"/>
      <c r="BE146" s="342"/>
      <c r="BF146" s="342"/>
      <c r="BG146" s="342"/>
      <c r="BH146" s="342"/>
      <c r="BI146" s="342"/>
      <c r="BJ146" s="342"/>
      <c r="BK146" s="342"/>
      <c r="BL146" s="342"/>
      <c r="BM146" s="342"/>
      <c r="BN146" s="342"/>
      <c r="BO146" s="342"/>
      <c r="BP146" s="342"/>
    </row>
    <row r="147" spans="2:68" ht="15">
      <c r="B147" s="342"/>
      <c r="C147" s="342"/>
      <c r="F147" s="342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  <c r="AN147" s="342"/>
      <c r="AO147" s="342"/>
      <c r="AP147" s="342"/>
      <c r="AQ147" s="342"/>
      <c r="AR147" s="342"/>
      <c r="AS147" s="342"/>
      <c r="AT147" s="342"/>
      <c r="AU147" s="342"/>
      <c r="AV147" s="342"/>
      <c r="AW147" s="342"/>
      <c r="AX147" s="342"/>
      <c r="AY147" s="342"/>
      <c r="AZ147" s="342"/>
      <c r="BA147" s="342"/>
      <c r="BB147" s="342"/>
      <c r="BC147" s="342"/>
      <c r="BD147" s="342"/>
      <c r="BE147" s="342"/>
      <c r="BF147" s="342"/>
      <c r="BG147" s="342"/>
      <c r="BH147" s="342"/>
      <c r="BI147" s="342"/>
      <c r="BJ147" s="342"/>
      <c r="BK147" s="342"/>
      <c r="BL147" s="342"/>
      <c r="BM147" s="342"/>
      <c r="BN147" s="342"/>
      <c r="BO147" s="342"/>
      <c r="BP147" s="342"/>
    </row>
    <row r="148" spans="2:68" ht="15">
      <c r="B148" s="342"/>
      <c r="C148" s="342"/>
      <c r="F148" s="342"/>
      <c r="G148" s="342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42"/>
      <c r="AH148" s="342"/>
      <c r="AI148" s="342"/>
      <c r="AJ148" s="342"/>
      <c r="AK148" s="342"/>
      <c r="AL148" s="342"/>
      <c r="AM148" s="342"/>
      <c r="AN148" s="342"/>
      <c r="AO148" s="342"/>
      <c r="AP148" s="342"/>
      <c r="AQ148" s="342"/>
      <c r="AR148" s="342"/>
      <c r="AS148" s="342"/>
      <c r="AT148" s="342"/>
      <c r="AU148" s="342"/>
      <c r="AV148" s="342"/>
      <c r="AW148" s="342"/>
      <c r="AX148" s="342"/>
      <c r="AY148" s="342"/>
      <c r="AZ148" s="342"/>
      <c r="BA148" s="342"/>
      <c r="BB148" s="342"/>
      <c r="BC148" s="342"/>
      <c r="BD148" s="342"/>
      <c r="BE148" s="342"/>
      <c r="BF148" s="342"/>
      <c r="BG148" s="342"/>
      <c r="BH148" s="342"/>
      <c r="BI148" s="342"/>
      <c r="BJ148" s="342"/>
      <c r="BK148" s="342"/>
      <c r="BL148" s="342"/>
      <c r="BM148" s="342"/>
      <c r="BN148" s="342"/>
      <c r="BO148" s="342"/>
      <c r="BP148" s="342"/>
    </row>
    <row r="149" spans="2:68" ht="15">
      <c r="B149" s="342"/>
      <c r="C149" s="342"/>
      <c r="F149" s="342"/>
      <c r="G149" s="342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342"/>
      <c r="AI149" s="342"/>
      <c r="AJ149" s="342"/>
      <c r="AK149" s="342"/>
      <c r="AL149" s="342"/>
      <c r="AM149" s="342"/>
      <c r="AN149" s="342"/>
      <c r="AO149" s="342"/>
      <c r="AP149" s="342"/>
      <c r="AQ149" s="342"/>
      <c r="AR149" s="342"/>
      <c r="AS149" s="342"/>
      <c r="AT149" s="342"/>
      <c r="AU149" s="342"/>
      <c r="AV149" s="342"/>
      <c r="AW149" s="342"/>
      <c r="AX149" s="342"/>
      <c r="AY149" s="342"/>
      <c r="AZ149" s="342"/>
      <c r="BA149" s="342"/>
      <c r="BB149" s="342"/>
      <c r="BC149" s="342"/>
      <c r="BD149" s="342"/>
      <c r="BE149" s="342"/>
      <c r="BF149" s="342"/>
      <c r="BG149" s="342"/>
      <c r="BH149" s="342"/>
      <c r="BI149" s="342"/>
      <c r="BJ149" s="342"/>
      <c r="BK149" s="342"/>
      <c r="BL149" s="342"/>
      <c r="BM149" s="342"/>
      <c r="BN149" s="342"/>
      <c r="BO149" s="342"/>
      <c r="BP149" s="342"/>
    </row>
    <row r="150" spans="2:68" ht="15">
      <c r="B150" s="342"/>
      <c r="C150" s="342"/>
      <c r="F150" s="342"/>
      <c r="G150" s="342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42"/>
      <c r="AH150" s="342"/>
      <c r="AI150" s="342"/>
      <c r="AJ150" s="342"/>
      <c r="AK150" s="342"/>
      <c r="AL150" s="342"/>
      <c r="AM150" s="342"/>
      <c r="AN150" s="342"/>
      <c r="AO150" s="342"/>
      <c r="AP150" s="342"/>
      <c r="AQ150" s="342"/>
      <c r="AR150" s="342"/>
      <c r="AS150" s="342"/>
      <c r="AT150" s="342"/>
      <c r="AU150" s="342"/>
      <c r="AV150" s="342"/>
      <c r="AW150" s="342"/>
      <c r="AX150" s="342"/>
      <c r="AY150" s="342"/>
      <c r="AZ150" s="342"/>
      <c r="BA150" s="342"/>
      <c r="BB150" s="342"/>
      <c r="BC150" s="342"/>
      <c r="BD150" s="342"/>
      <c r="BE150" s="342"/>
      <c r="BF150" s="342"/>
      <c r="BG150" s="342"/>
      <c r="BH150" s="342"/>
      <c r="BI150" s="342"/>
      <c r="BJ150" s="342"/>
      <c r="BK150" s="342"/>
      <c r="BL150" s="342"/>
      <c r="BM150" s="342"/>
      <c r="BN150" s="342"/>
      <c r="BO150" s="342"/>
      <c r="BP150" s="342"/>
    </row>
    <row r="151" spans="2:68" ht="15">
      <c r="B151" s="342"/>
      <c r="C151" s="342"/>
      <c r="F151" s="342"/>
      <c r="G151" s="342"/>
      <c r="H151" s="342"/>
      <c r="I151" s="342"/>
      <c r="J151" s="342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2"/>
      <c r="V151" s="342"/>
      <c r="W151" s="342"/>
      <c r="X151" s="342"/>
      <c r="Y151" s="342"/>
      <c r="Z151" s="342"/>
      <c r="AA151" s="342"/>
      <c r="AB151" s="342"/>
      <c r="AC151" s="342"/>
      <c r="AD151" s="342"/>
      <c r="AE151" s="342"/>
      <c r="AF151" s="342"/>
      <c r="AG151" s="342"/>
      <c r="AH151" s="342"/>
      <c r="AI151" s="342"/>
      <c r="AJ151" s="342"/>
      <c r="AK151" s="342"/>
      <c r="AL151" s="342"/>
      <c r="AM151" s="342"/>
      <c r="AN151" s="342"/>
      <c r="AO151" s="342"/>
      <c r="AP151" s="342"/>
      <c r="AQ151" s="342"/>
      <c r="AR151" s="342"/>
      <c r="AS151" s="342"/>
      <c r="AT151" s="342"/>
      <c r="AU151" s="342"/>
      <c r="AV151" s="342"/>
      <c r="AW151" s="342"/>
      <c r="AX151" s="342"/>
      <c r="AY151" s="342"/>
      <c r="AZ151" s="342"/>
      <c r="BA151" s="342"/>
      <c r="BB151" s="342"/>
      <c r="BC151" s="342"/>
      <c r="BD151" s="342"/>
      <c r="BE151" s="342"/>
      <c r="BF151" s="342"/>
      <c r="BG151" s="342"/>
      <c r="BH151" s="342"/>
      <c r="BI151" s="342"/>
      <c r="BJ151" s="342"/>
      <c r="BK151" s="342"/>
      <c r="BL151" s="342"/>
      <c r="BM151" s="342"/>
      <c r="BN151" s="342"/>
      <c r="BO151" s="342"/>
      <c r="BP151" s="342"/>
    </row>
    <row r="152" spans="2:68" ht="15">
      <c r="B152" s="342"/>
      <c r="C152" s="342"/>
      <c r="F152" s="342"/>
      <c r="G152" s="342"/>
      <c r="H152" s="342"/>
      <c r="I152" s="342"/>
      <c r="J152" s="342"/>
      <c r="K152" s="342"/>
      <c r="L152" s="342"/>
      <c r="M152" s="342"/>
      <c r="N152" s="342"/>
      <c r="O152" s="342"/>
      <c r="P152" s="342"/>
      <c r="Q152" s="342"/>
      <c r="R152" s="342"/>
      <c r="S152" s="342"/>
      <c r="T152" s="342"/>
      <c r="U152" s="342"/>
      <c r="V152" s="342"/>
      <c r="W152" s="342"/>
      <c r="X152" s="342"/>
      <c r="Y152" s="342"/>
      <c r="Z152" s="342"/>
      <c r="AA152" s="342"/>
      <c r="AB152" s="342"/>
      <c r="AC152" s="342"/>
      <c r="AD152" s="342"/>
      <c r="AE152" s="342"/>
      <c r="AF152" s="342"/>
      <c r="AG152" s="342"/>
      <c r="AH152" s="342"/>
      <c r="AI152" s="342"/>
      <c r="AJ152" s="342"/>
      <c r="AK152" s="342"/>
      <c r="AL152" s="342"/>
      <c r="AM152" s="342"/>
      <c r="AN152" s="342"/>
      <c r="AO152" s="342"/>
      <c r="AP152" s="342"/>
      <c r="AQ152" s="342"/>
      <c r="AR152" s="342"/>
      <c r="AS152" s="342"/>
      <c r="AT152" s="342"/>
      <c r="AU152" s="342"/>
      <c r="AV152" s="342"/>
      <c r="AW152" s="342"/>
      <c r="AX152" s="342"/>
      <c r="AY152" s="342"/>
      <c r="AZ152" s="342"/>
      <c r="BA152" s="342"/>
      <c r="BB152" s="342"/>
      <c r="BC152" s="342"/>
      <c r="BD152" s="342"/>
      <c r="BE152" s="342"/>
      <c r="BF152" s="342"/>
      <c r="BG152" s="342"/>
      <c r="BH152" s="342"/>
      <c r="BI152" s="342"/>
      <c r="BJ152" s="342"/>
      <c r="BK152" s="342"/>
      <c r="BL152" s="342"/>
      <c r="BM152" s="342"/>
      <c r="BN152" s="342"/>
      <c r="BO152" s="342"/>
      <c r="BP152" s="342"/>
    </row>
    <row r="153" spans="2:68" ht="15">
      <c r="B153" s="342"/>
      <c r="C153" s="342"/>
      <c r="F153" s="342"/>
      <c r="G153" s="342"/>
      <c r="H153" s="342"/>
      <c r="I153" s="342"/>
      <c r="J153" s="342"/>
      <c r="K153" s="342"/>
      <c r="L153" s="342"/>
      <c r="M153" s="342"/>
      <c r="N153" s="342"/>
      <c r="O153" s="342"/>
      <c r="P153" s="342"/>
      <c r="Q153" s="342"/>
      <c r="R153" s="342"/>
      <c r="S153" s="342"/>
      <c r="T153" s="342"/>
      <c r="U153" s="342"/>
      <c r="V153" s="342"/>
      <c r="W153" s="342"/>
      <c r="X153" s="342"/>
      <c r="Y153" s="342"/>
      <c r="Z153" s="342"/>
      <c r="AA153" s="342"/>
      <c r="AB153" s="342"/>
      <c r="AC153" s="342"/>
      <c r="AD153" s="342"/>
      <c r="AE153" s="342"/>
      <c r="AF153" s="342"/>
      <c r="AG153" s="342"/>
      <c r="AH153" s="342"/>
      <c r="AI153" s="342"/>
      <c r="AJ153" s="342"/>
      <c r="AK153" s="342"/>
      <c r="AL153" s="342"/>
      <c r="AM153" s="342"/>
      <c r="AN153" s="342"/>
      <c r="AO153" s="342"/>
      <c r="AP153" s="342"/>
      <c r="AQ153" s="342"/>
      <c r="AR153" s="342"/>
      <c r="AS153" s="342"/>
      <c r="AT153" s="342"/>
      <c r="AU153" s="342"/>
      <c r="AV153" s="342"/>
      <c r="AW153" s="342"/>
      <c r="AX153" s="342"/>
      <c r="AY153" s="342"/>
      <c r="AZ153" s="342"/>
      <c r="BA153" s="342"/>
      <c r="BB153" s="342"/>
      <c r="BC153" s="342"/>
      <c r="BD153" s="342"/>
      <c r="BE153" s="342"/>
      <c r="BF153" s="342"/>
      <c r="BG153" s="342"/>
      <c r="BH153" s="342"/>
      <c r="BI153" s="342"/>
      <c r="BJ153" s="342"/>
      <c r="BK153" s="342"/>
      <c r="BL153" s="342"/>
      <c r="BM153" s="342"/>
      <c r="BN153" s="342"/>
      <c r="BO153" s="342"/>
      <c r="BP153" s="342"/>
    </row>
    <row r="154" spans="2:68" ht="15">
      <c r="B154" s="342"/>
      <c r="C154" s="342"/>
      <c r="F154" s="342"/>
      <c r="G154" s="342"/>
      <c r="H154" s="342"/>
      <c r="I154" s="342"/>
      <c r="J154" s="342"/>
      <c r="K154" s="342"/>
      <c r="L154" s="342"/>
      <c r="M154" s="342"/>
      <c r="N154" s="342"/>
      <c r="O154" s="342"/>
      <c r="P154" s="342"/>
      <c r="Q154" s="342"/>
      <c r="R154" s="342"/>
      <c r="S154" s="342"/>
      <c r="T154" s="342"/>
      <c r="U154" s="342"/>
      <c r="V154" s="342"/>
      <c r="W154" s="342"/>
      <c r="X154" s="342"/>
      <c r="Y154" s="342"/>
      <c r="Z154" s="342"/>
      <c r="AA154" s="342"/>
      <c r="AB154" s="342"/>
      <c r="AC154" s="342"/>
      <c r="AD154" s="342"/>
      <c r="AE154" s="342"/>
      <c r="AF154" s="342"/>
      <c r="AG154" s="342"/>
      <c r="AH154" s="342"/>
      <c r="AI154" s="342"/>
      <c r="AJ154" s="342"/>
      <c r="AK154" s="342"/>
      <c r="AL154" s="342"/>
      <c r="AM154" s="342"/>
      <c r="AN154" s="342"/>
      <c r="AO154" s="342"/>
      <c r="AP154" s="342"/>
      <c r="AQ154" s="342"/>
      <c r="AR154" s="342"/>
      <c r="AS154" s="342"/>
      <c r="AT154" s="342"/>
      <c r="AU154" s="342"/>
      <c r="AV154" s="342"/>
      <c r="AW154" s="342"/>
      <c r="AX154" s="342"/>
      <c r="AY154" s="342"/>
      <c r="AZ154" s="342"/>
      <c r="BA154" s="342"/>
      <c r="BB154" s="342"/>
      <c r="BC154" s="342"/>
      <c r="BD154" s="342"/>
      <c r="BE154" s="342"/>
      <c r="BF154" s="342"/>
      <c r="BG154" s="342"/>
      <c r="BH154" s="342"/>
      <c r="BI154" s="342"/>
      <c r="BJ154" s="342"/>
      <c r="BK154" s="342"/>
      <c r="BL154" s="342"/>
      <c r="BM154" s="342"/>
      <c r="BN154" s="342"/>
      <c r="BO154" s="342"/>
      <c r="BP154" s="342"/>
    </row>
    <row r="155" spans="2:68" ht="15">
      <c r="B155" s="342"/>
      <c r="C155" s="342"/>
      <c r="F155" s="342"/>
      <c r="G155" s="342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342"/>
      <c r="X155" s="342"/>
      <c r="Y155" s="342"/>
      <c r="Z155" s="342"/>
      <c r="AA155" s="342"/>
      <c r="AB155" s="342"/>
      <c r="AC155" s="342"/>
      <c r="AD155" s="342"/>
      <c r="AE155" s="342"/>
      <c r="AF155" s="342"/>
      <c r="AG155" s="342"/>
      <c r="AH155" s="342"/>
      <c r="AI155" s="342"/>
      <c r="AJ155" s="342"/>
      <c r="AK155" s="342"/>
      <c r="AL155" s="342"/>
      <c r="AM155" s="342"/>
      <c r="AN155" s="342"/>
      <c r="AO155" s="342"/>
      <c r="AP155" s="342"/>
      <c r="AQ155" s="342"/>
      <c r="AR155" s="342"/>
      <c r="AS155" s="342"/>
      <c r="AT155" s="342"/>
      <c r="AU155" s="342"/>
      <c r="AV155" s="342"/>
      <c r="AW155" s="342"/>
      <c r="AX155" s="342"/>
      <c r="AY155" s="342"/>
      <c r="AZ155" s="342"/>
      <c r="BA155" s="342"/>
      <c r="BB155" s="342"/>
      <c r="BC155" s="342"/>
      <c r="BD155" s="342"/>
      <c r="BE155" s="342"/>
      <c r="BF155" s="342"/>
      <c r="BG155" s="342"/>
      <c r="BH155" s="342"/>
      <c r="BI155" s="342"/>
      <c r="BJ155" s="342"/>
      <c r="BK155" s="342"/>
      <c r="BL155" s="342"/>
      <c r="BM155" s="342"/>
      <c r="BN155" s="342"/>
      <c r="BO155" s="342"/>
      <c r="BP155" s="342"/>
    </row>
    <row r="156" spans="2:68" ht="15">
      <c r="B156" s="342"/>
      <c r="C156" s="342"/>
      <c r="F156" s="342"/>
      <c r="G156" s="342"/>
      <c r="H156" s="342"/>
      <c r="I156" s="342"/>
      <c r="J156" s="342"/>
      <c r="K156" s="342"/>
      <c r="L156" s="342"/>
      <c r="M156" s="342"/>
      <c r="N156" s="342"/>
      <c r="O156" s="342"/>
      <c r="P156" s="342"/>
      <c r="Q156" s="342"/>
      <c r="R156" s="342"/>
      <c r="S156" s="342"/>
      <c r="T156" s="342"/>
      <c r="U156" s="342"/>
      <c r="V156" s="342"/>
      <c r="W156" s="342"/>
      <c r="X156" s="342"/>
      <c r="Y156" s="342"/>
      <c r="Z156" s="342"/>
      <c r="AA156" s="342"/>
      <c r="AB156" s="342"/>
      <c r="AC156" s="342"/>
      <c r="AD156" s="342"/>
      <c r="AE156" s="342"/>
      <c r="AF156" s="342"/>
      <c r="AG156" s="342"/>
      <c r="AH156" s="342"/>
      <c r="AI156" s="342"/>
      <c r="AJ156" s="342"/>
      <c r="AK156" s="342"/>
      <c r="AL156" s="342"/>
      <c r="AM156" s="342"/>
      <c r="AN156" s="342"/>
      <c r="AO156" s="342"/>
      <c r="AP156" s="342"/>
      <c r="AQ156" s="342"/>
      <c r="AR156" s="342"/>
      <c r="AS156" s="342"/>
      <c r="AT156" s="342"/>
      <c r="AU156" s="342"/>
      <c r="AV156" s="342"/>
      <c r="AW156" s="342"/>
      <c r="AX156" s="342"/>
      <c r="AY156" s="342"/>
      <c r="AZ156" s="342"/>
      <c r="BA156" s="342"/>
      <c r="BB156" s="342"/>
      <c r="BC156" s="342"/>
      <c r="BD156" s="342"/>
      <c r="BE156" s="342"/>
      <c r="BF156" s="342"/>
      <c r="BG156" s="342"/>
      <c r="BH156" s="342"/>
      <c r="BI156" s="342"/>
      <c r="BJ156" s="342"/>
      <c r="BK156" s="342"/>
      <c r="BL156" s="342"/>
      <c r="BM156" s="342"/>
      <c r="BN156" s="342"/>
      <c r="BO156" s="342"/>
      <c r="BP156" s="342"/>
    </row>
    <row r="157" spans="2:68" ht="15">
      <c r="B157" s="342"/>
      <c r="C157" s="342"/>
      <c r="F157" s="342"/>
      <c r="G157" s="342"/>
      <c r="H157" s="342"/>
      <c r="I157" s="342"/>
      <c r="J157" s="342"/>
      <c r="K157" s="342"/>
      <c r="L157" s="342"/>
      <c r="M157" s="342"/>
      <c r="N157" s="342"/>
      <c r="O157" s="342"/>
      <c r="P157" s="342"/>
      <c r="Q157" s="342"/>
      <c r="R157" s="342"/>
      <c r="S157" s="342"/>
      <c r="T157" s="342"/>
      <c r="U157" s="342"/>
      <c r="V157" s="342"/>
      <c r="W157" s="342"/>
      <c r="X157" s="342"/>
      <c r="Y157" s="342"/>
      <c r="Z157" s="342"/>
      <c r="AA157" s="342"/>
      <c r="AB157" s="342"/>
      <c r="AC157" s="342"/>
      <c r="AD157" s="342"/>
      <c r="AE157" s="342"/>
      <c r="AF157" s="342"/>
      <c r="AG157" s="342"/>
      <c r="AH157" s="342"/>
      <c r="AI157" s="342"/>
      <c r="AJ157" s="342"/>
      <c r="AK157" s="342"/>
      <c r="AL157" s="342"/>
      <c r="AM157" s="342"/>
      <c r="AN157" s="342"/>
      <c r="AO157" s="342"/>
      <c r="AP157" s="342"/>
      <c r="AQ157" s="342"/>
      <c r="AR157" s="342"/>
      <c r="AS157" s="342"/>
      <c r="AT157" s="342"/>
      <c r="AU157" s="342"/>
      <c r="AV157" s="342"/>
      <c r="AW157" s="342"/>
      <c r="AX157" s="342"/>
      <c r="AY157" s="342"/>
      <c r="AZ157" s="342"/>
      <c r="BA157" s="342"/>
      <c r="BB157" s="342"/>
      <c r="BC157" s="342"/>
      <c r="BD157" s="342"/>
      <c r="BE157" s="342"/>
      <c r="BF157" s="342"/>
      <c r="BG157" s="342"/>
      <c r="BH157" s="342"/>
      <c r="BI157" s="342"/>
      <c r="BJ157" s="342"/>
      <c r="BK157" s="342"/>
      <c r="BL157" s="342"/>
      <c r="BM157" s="342"/>
      <c r="BN157" s="342"/>
      <c r="BO157" s="342"/>
      <c r="BP157" s="342"/>
    </row>
    <row r="158" spans="2:68" ht="15">
      <c r="B158" s="342"/>
      <c r="C158" s="342"/>
      <c r="F158" s="342"/>
      <c r="G158" s="342"/>
      <c r="H158" s="342"/>
      <c r="I158" s="342"/>
      <c r="J158" s="342"/>
      <c r="K158" s="342"/>
      <c r="L158" s="342"/>
      <c r="M158" s="342"/>
      <c r="N158" s="342"/>
      <c r="O158" s="342"/>
      <c r="P158" s="342"/>
      <c r="Q158" s="342"/>
      <c r="R158" s="342"/>
      <c r="S158" s="342"/>
      <c r="T158" s="342"/>
      <c r="U158" s="342"/>
      <c r="V158" s="342"/>
      <c r="W158" s="342"/>
      <c r="X158" s="342"/>
      <c r="Y158" s="342"/>
      <c r="Z158" s="342"/>
      <c r="AA158" s="342"/>
      <c r="AB158" s="342"/>
      <c r="AC158" s="342"/>
      <c r="AD158" s="342"/>
      <c r="AE158" s="342"/>
      <c r="AF158" s="342"/>
      <c r="AG158" s="342"/>
      <c r="AH158" s="342"/>
      <c r="AI158" s="342"/>
      <c r="AJ158" s="342"/>
      <c r="AK158" s="342"/>
      <c r="AL158" s="342"/>
      <c r="AM158" s="342"/>
      <c r="AN158" s="342"/>
      <c r="AO158" s="342"/>
      <c r="AP158" s="342"/>
      <c r="AQ158" s="342"/>
      <c r="AR158" s="342"/>
      <c r="AS158" s="342"/>
      <c r="AT158" s="342"/>
      <c r="AU158" s="342"/>
      <c r="AV158" s="342"/>
      <c r="AW158" s="342"/>
      <c r="AX158" s="342"/>
      <c r="AY158" s="342"/>
      <c r="AZ158" s="342"/>
      <c r="BA158" s="342"/>
      <c r="BB158" s="342"/>
      <c r="BC158" s="342"/>
      <c r="BD158" s="342"/>
      <c r="BE158" s="342"/>
      <c r="BF158" s="342"/>
      <c r="BG158" s="342"/>
      <c r="BH158" s="342"/>
      <c r="BI158" s="342"/>
      <c r="BJ158" s="342"/>
      <c r="BK158" s="342"/>
      <c r="BL158" s="342"/>
      <c r="BM158" s="342"/>
      <c r="BN158" s="342"/>
      <c r="BO158" s="342"/>
      <c r="BP158" s="342"/>
    </row>
    <row r="159" spans="2:68" ht="15">
      <c r="B159" s="342"/>
      <c r="C159" s="342"/>
      <c r="F159" s="342"/>
      <c r="G159" s="342"/>
      <c r="H159" s="342"/>
      <c r="I159" s="342"/>
      <c r="J159" s="342"/>
      <c r="K159" s="342"/>
      <c r="L159" s="342"/>
      <c r="M159" s="342"/>
      <c r="N159" s="342"/>
      <c r="O159" s="342"/>
      <c r="P159" s="342"/>
      <c r="Q159" s="342"/>
      <c r="R159" s="342"/>
      <c r="S159" s="342"/>
      <c r="T159" s="342"/>
      <c r="U159" s="342"/>
      <c r="V159" s="342"/>
      <c r="W159" s="342"/>
      <c r="X159" s="342"/>
      <c r="Y159" s="342"/>
      <c r="Z159" s="342"/>
      <c r="AA159" s="342"/>
      <c r="AB159" s="342"/>
      <c r="AC159" s="342"/>
      <c r="AD159" s="342"/>
      <c r="AE159" s="342"/>
      <c r="AF159" s="342"/>
      <c r="AG159" s="342"/>
      <c r="AH159" s="342"/>
      <c r="AI159" s="342"/>
      <c r="AJ159" s="342"/>
      <c r="AK159" s="342"/>
      <c r="AL159" s="342"/>
      <c r="AM159" s="342"/>
      <c r="AN159" s="342"/>
      <c r="AO159" s="342"/>
      <c r="AP159" s="342"/>
      <c r="AQ159" s="342"/>
      <c r="AR159" s="342"/>
      <c r="AS159" s="342"/>
      <c r="AT159" s="342"/>
      <c r="AU159" s="342"/>
      <c r="AV159" s="342"/>
      <c r="AW159" s="342"/>
      <c r="AX159" s="342"/>
      <c r="AY159" s="342"/>
      <c r="AZ159" s="342"/>
      <c r="BA159" s="342"/>
      <c r="BB159" s="342"/>
      <c r="BC159" s="342"/>
      <c r="BD159" s="342"/>
      <c r="BE159" s="342"/>
      <c r="BF159" s="342"/>
      <c r="BG159" s="342"/>
      <c r="BH159" s="342"/>
      <c r="BI159" s="342"/>
      <c r="BJ159" s="342"/>
      <c r="BK159" s="342"/>
      <c r="BL159" s="342"/>
      <c r="BM159" s="342"/>
      <c r="BN159" s="342"/>
      <c r="BO159" s="342"/>
      <c r="BP159" s="342"/>
    </row>
    <row r="160" spans="2:68" ht="15">
      <c r="B160" s="342"/>
      <c r="C160" s="342"/>
      <c r="F160" s="342"/>
      <c r="G160" s="342"/>
      <c r="H160" s="342"/>
      <c r="I160" s="342"/>
      <c r="J160" s="342"/>
      <c r="K160" s="342"/>
      <c r="L160" s="342"/>
      <c r="M160" s="342"/>
      <c r="N160" s="342"/>
      <c r="O160" s="342"/>
      <c r="P160" s="342"/>
      <c r="Q160" s="342"/>
      <c r="R160" s="342"/>
      <c r="S160" s="342"/>
      <c r="T160" s="342"/>
      <c r="U160" s="342"/>
      <c r="V160" s="342"/>
      <c r="W160" s="342"/>
      <c r="X160" s="342"/>
      <c r="Y160" s="342"/>
      <c r="Z160" s="342"/>
      <c r="AA160" s="342"/>
      <c r="AB160" s="342"/>
      <c r="AC160" s="342"/>
      <c r="AD160" s="342"/>
      <c r="AE160" s="342"/>
      <c r="AF160" s="342"/>
      <c r="AG160" s="342"/>
      <c r="AH160" s="342"/>
      <c r="AI160" s="342"/>
      <c r="AJ160" s="342"/>
      <c r="AK160" s="342"/>
      <c r="AL160" s="342"/>
      <c r="AM160" s="342"/>
      <c r="AN160" s="342"/>
      <c r="AO160" s="342"/>
      <c r="AP160" s="342"/>
      <c r="AQ160" s="342"/>
      <c r="AR160" s="342"/>
      <c r="AS160" s="342"/>
      <c r="AT160" s="342"/>
      <c r="AU160" s="342"/>
      <c r="AV160" s="342"/>
      <c r="AW160" s="342"/>
      <c r="AX160" s="342"/>
      <c r="AY160" s="342"/>
      <c r="AZ160" s="342"/>
      <c r="BA160" s="342"/>
      <c r="BB160" s="342"/>
      <c r="BC160" s="342"/>
      <c r="BD160" s="342"/>
      <c r="BE160" s="342"/>
      <c r="BF160" s="342"/>
      <c r="BG160" s="342"/>
      <c r="BH160" s="342"/>
      <c r="BI160" s="342"/>
      <c r="BJ160" s="342"/>
      <c r="BK160" s="342"/>
      <c r="BL160" s="342"/>
      <c r="BM160" s="342"/>
      <c r="BN160" s="342"/>
      <c r="BO160" s="342"/>
      <c r="BP160" s="342"/>
    </row>
    <row r="161" spans="2:68" ht="15">
      <c r="B161" s="342"/>
      <c r="C161" s="342"/>
      <c r="F161" s="342"/>
      <c r="G161" s="342"/>
      <c r="H161" s="342"/>
      <c r="I161" s="342"/>
      <c r="J161" s="342"/>
      <c r="K161" s="342"/>
      <c r="L161" s="342"/>
      <c r="M161" s="342"/>
      <c r="N161" s="342"/>
      <c r="O161" s="342"/>
      <c r="P161" s="342"/>
      <c r="Q161" s="342"/>
      <c r="R161" s="342"/>
      <c r="S161" s="342"/>
      <c r="T161" s="342"/>
      <c r="U161" s="342"/>
      <c r="V161" s="342"/>
      <c r="W161" s="342"/>
      <c r="X161" s="342"/>
      <c r="Y161" s="342"/>
      <c r="Z161" s="342"/>
      <c r="AA161" s="342"/>
      <c r="AB161" s="342"/>
      <c r="AC161" s="342"/>
      <c r="AD161" s="342"/>
      <c r="AE161" s="342"/>
      <c r="AF161" s="342"/>
      <c r="AG161" s="342"/>
      <c r="AH161" s="342"/>
      <c r="AI161" s="342"/>
      <c r="AJ161" s="342"/>
      <c r="AK161" s="342"/>
      <c r="AL161" s="342"/>
      <c r="AM161" s="342"/>
      <c r="AN161" s="342"/>
      <c r="AO161" s="342"/>
      <c r="AP161" s="342"/>
      <c r="AQ161" s="342"/>
      <c r="AR161" s="342"/>
      <c r="AS161" s="342"/>
      <c r="AT161" s="342"/>
      <c r="AU161" s="342"/>
      <c r="AV161" s="342"/>
      <c r="AW161" s="342"/>
      <c r="AX161" s="342"/>
      <c r="AY161" s="342"/>
      <c r="AZ161" s="342"/>
      <c r="BA161" s="342"/>
      <c r="BB161" s="342"/>
      <c r="BC161" s="342"/>
      <c r="BD161" s="342"/>
      <c r="BE161" s="342"/>
      <c r="BF161" s="342"/>
      <c r="BG161" s="342"/>
      <c r="BH161" s="342"/>
      <c r="BI161" s="342"/>
      <c r="BJ161" s="342"/>
      <c r="BK161" s="342"/>
      <c r="BL161" s="342"/>
      <c r="BM161" s="342"/>
      <c r="BN161" s="342"/>
      <c r="BO161" s="342"/>
      <c r="BP161" s="342"/>
    </row>
    <row r="162" spans="2:68" ht="15">
      <c r="B162" s="342"/>
      <c r="C162" s="342"/>
      <c r="F162" s="342"/>
      <c r="G162" s="342"/>
      <c r="H162" s="342"/>
      <c r="I162" s="342"/>
      <c r="J162" s="342"/>
      <c r="K162" s="342"/>
      <c r="L162" s="342"/>
      <c r="M162" s="342"/>
      <c r="N162" s="342"/>
      <c r="O162" s="342"/>
      <c r="P162" s="342"/>
      <c r="Q162" s="342"/>
      <c r="R162" s="342"/>
      <c r="S162" s="342"/>
      <c r="T162" s="342"/>
      <c r="U162" s="342"/>
      <c r="V162" s="342"/>
      <c r="W162" s="342"/>
      <c r="X162" s="342"/>
      <c r="Y162" s="342"/>
      <c r="Z162" s="342"/>
      <c r="AA162" s="342"/>
      <c r="AB162" s="342"/>
      <c r="AC162" s="342"/>
      <c r="AD162" s="342"/>
      <c r="AE162" s="342"/>
      <c r="AF162" s="342"/>
      <c r="AG162" s="342"/>
      <c r="AH162" s="342"/>
      <c r="AI162" s="342"/>
      <c r="AJ162" s="342"/>
      <c r="AK162" s="342"/>
      <c r="AL162" s="342"/>
      <c r="AM162" s="342"/>
      <c r="AN162" s="342"/>
      <c r="AO162" s="342"/>
      <c r="AP162" s="342"/>
      <c r="AQ162" s="342"/>
      <c r="AR162" s="342"/>
      <c r="AS162" s="342"/>
      <c r="AT162" s="342"/>
      <c r="AU162" s="342"/>
      <c r="AV162" s="342"/>
      <c r="AW162" s="342"/>
      <c r="AX162" s="342"/>
      <c r="AY162" s="342"/>
      <c r="AZ162" s="342"/>
      <c r="BA162" s="342"/>
      <c r="BB162" s="342"/>
      <c r="BC162" s="342"/>
      <c r="BD162" s="342"/>
      <c r="BE162" s="342"/>
      <c r="BF162" s="342"/>
      <c r="BG162" s="342"/>
      <c r="BH162" s="342"/>
      <c r="BI162" s="342"/>
      <c r="BJ162" s="342"/>
      <c r="BK162" s="342"/>
      <c r="BL162" s="342"/>
      <c r="BM162" s="342"/>
      <c r="BN162" s="342"/>
      <c r="BO162" s="342"/>
      <c r="BP162" s="342"/>
    </row>
    <row r="163" spans="2:68" ht="15">
      <c r="B163" s="342"/>
      <c r="C163" s="342"/>
      <c r="F163" s="342"/>
      <c r="G163" s="342"/>
      <c r="H163" s="342"/>
      <c r="I163" s="342"/>
      <c r="J163" s="342"/>
      <c r="K163" s="342"/>
      <c r="L163" s="342"/>
      <c r="M163" s="342"/>
      <c r="N163" s="342"/>
      <c r="O163" s="342"/>
      <c r="P163" s="342"/>
      <c r="Q163" s="342"/>
      <c r="R163" s="342"/>
      <c r="S163" s="342"/>
      <c r="T163" s="342"/>
      <c r="U163" s="342"/>
      <c r="V163" s="342"/>
      <c r="W163" s="342"/>
      <c r="X163" s="342"/>
      <c r="Y163" s="342"/>
      <c r="Z163" s="342"/>
      <c r="AA163" s="342"/>
      <c r="AB163" s="342"/>
      <c r="AC163" s="342"/>
      <c r="AD163" s="342"/>
      <c r="AE163" s="342"/>
      <c r="AF163" s="342"/>
      <c r="AG163" s="342"/>
      <c r="AH163" s="342"/>
      <c r="AI163" s="342"/>
      <c r="AJ163" s="342"/>
      <c r="AK163" s="342"/>
      <c r="AL163" s="342"/>
      <c r="AM163" s="342"/>
      <c r="AN163" s="342"/>
      <c r="AO163" s="342"/>
      <c r="AP163" s="342"/>
      <c r="AQ163" s="342"/>
      <c r="AR163" s="342"/>
      <c r="AS163" s="342"/>
      <c r="AT163" s="342"/>
      <c r="AU163" s="342"/>
      <c r="AV163" s="342"/>
      <c r="AW163" s="342"/>
      <c r="AX163" s="342"/>
      <c r="AY163" s="342"/>
      <c r="AZ163" s="342"/>
      <c r="BA163" s="342"/>
      <c r="BB163" s="342"/>
      <c r="BC163" s="342"/>
      <c r="BD163" s="342"/>
      <c r="BE163" s="342"/>
      <c r="BF163" s="342"/>
      <c r="BG163" s="342"/>
      <c r="BH163" s="342"/>
      <c r="BI163" s="342"/>
      <c r="BJ163" s="342"/>
      <c r="BK163" s="342"/>
      <c r="BL163" s="342"/>
      <c r="BM163" s="342"/>
      <c r="BN163" s="342"/>
      <c r="BO163" s="342"/>
      <c r="BP163" s="342"/>
    </row>
    <row r="164" spans="2:68" ht="15">
      <c r="B164" s="342"/>
      <c r="C164" s="342"/>
      <c r="F164" s="342"/>
      <c r="G164" s="342"/>
      <c r="H164" s="342"/>
      <c r="I164" s="342"/>
      <c r="J164" s="342"/>
      <c r="K164" s="342"/>
      <c r="L164" s="342"/>
      <c r="M164" s="342"/>
      <c r="N164" s="342"/>
      <c r="O164" s="342"/>
      <c r="P164" s="342"/>
      <c r="Q164" s="342"/>
      <c r="R164" s="342"/>
      <c r="S164" s="342"/>
      <c r="T164" s="342"/>
      <c r="U164" s="342"/>
      <c r="V164" s="342"/>
      <c r="W164" s="342"/>
      <c r="X164" s="342"/>
      <c r="Y164" s="342"/>
      <c r="Z164" s="342"/>
      <c r="AA164" s="342"/>
      <c r="AB164" s="342"/>
      <c r="AC164" s="342"/>
      <c r="AD164" s="342"/>
      <c r="AE164" s="342"/>
      <c r="AF164" s="342"/>
      <c r="AG164" s="342"/>
      <c r="AH164" s="342"/>
      <c r="AI164" s="342"/>
      <c r="AJ164" s="342"/>
      <c r="AK164" s="342"/>
      <c r="AL164" s="342"/>
      <c r="AM164" s="342"/>
      <c r="AN164" s="342"/>
      <c r="AO164" s="342"/>
      <c r="AP164" s="342"/>
      <c r="AQ164" s="342"/>
      <c r="AR164" s="342"/>
      <c r="AS164" s="342"/>
      <c r="AT164" s="342"/>
      <c r="AU164" s="342"/>
      <c r="AV164" s="342"/>
      <c r="AW164" s="342"/>
      <c r="AX164" s="342"/>
      <c r="AY164" s="342"/>
      <c r="AZ164" s="342"/>
      <c r="BA164" s="342"/>
      <c r="BB164" s="342"/>
      <c r="BC164" s="342"/>
      <c r="BD164" s="342"/>
      <c r="BE164" s="342"/>
      <c r="BF164" s="342"/>
      <c r="BG164" s="342"/>
      <c r="BH164" s="342"/>
      <c r="BI164" s="342"/>
      <c r="BJ164" s="342"/>
      <c r="BK164" s="342"/>
      <c r="BL164" s="342"/>
      <c r="BM164" s="342"/>
      <c r="BN164" s="342"/>
      <c r="BO164" s="342"/>
      <c r="BP164" s="342"/>
    </row>
    <row r="165" spans="2:68" ht="15">
      <c r="B165" s="342"/>
      <c r="C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342"/>
      <c r="V165" s="342"/>
      <c r="W165" s="342"/>
      <c r="X165" s="342"/>
      <c r="Y165" s="342"/>
      <c r="Z165" s="342"/>
      <c r="AA165" s="342"/>
      <c r="AB165" s="342"/>
      <c r="AC165" s="342"/>
      <c r="AD165" s="342"/>
      <c r="AE165" s="342"/>
      <c r="AF165" s="342"/>
      <c r="AG165" s="342"/>
      <c r="AH165" s="342"/>
      <c r="AI165" s="342"/>
      <c r="AJ165" s="342"/>
      <c r="AK165" s="342"/>
      <c r="AL165" s="342"/>
      <c r="AM165" s="342"/>
      <c r="AN165" s="342"/>
      <c r="AO165" s="342"/>
      <c r="AP165" s="342"/>
      <c r="AQ165" s="342"/>
      <c r="AR165" s="342"/>
      <c r="AS165" s="342"/>
      <c r="AT165" s="342"/>
      <c r="AU165" s="342"/>
      <c r="AV165" s="342"/>
      <c r="AW165" s="342"/>
      <c r="AX165" s="342"/>
      <c r="AY165" s="342"/>
      <c r="AZ165" s="342"/>
      <c r="BA165" s="342"/>
      <c r="BB165" s="342"/>
      <c r="BC165" s="342"/>
      <c r="BD165" s="342"/>
      <c r="BE165" s="342"/>
      <c r="BF165" s="342"/>
      <c r="BG165" s="342"/>
      <c r="BH165" s="342"/>
      <c r="BI165" s="342"/>
      <c r="BJ165" s="342"/>
      <c r="BK165" s="342"/>
      <c r="BL165" s="342"/>
      <c r="BM165" s="342"/>
      <c r="BN165" s="342"/>
      <c r="BO165" s="342"/>
      <c r="BP165" s="342"/>
    </row>
    <row r="166" spans="2:68" ht="15">
      <c r="B166" s="342"/>
      <c r="C166" s="342"/>
      <c r="F166" s="342"/>
      <c r="G166" s="342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342"/>
      <c r="S166" s="342"/>
      <c r="T166" s="342"/>
      <c r="U166" s="342"/>
      <c r="V166" s="342"/>
      <c r="W166" s="342"/>
      <c r="X166" s="342"/>
      <c r="Y166" s="342"/>
      <c r="Z166" s="342"/>
      <c r="AA166" s="342"/>
      <c r="AB166" s="342"/>
      <c r="AC166" s="342"/>
      <c r="AD166" s="342"/>
      <c r="AE166" s="342"/>
      <c r="AF166" s="342"/>
      <c r="AG166" s="342"/>
      <c r="AH166" s="342"/>
      <c r="AI166" s="342"/>
      <c r="AJ166" s="342"/>
      <c r="AK166" s="342"/>
      <c r="AL166" s="342"/>
      <c r="AM166" s="342"/>
      <c r="AN166" s="342"/>
      <c r="AO166" s="342"/>
      <c r="AP166" s="342"/>
      <c r="AQ166" s="342"/>
      <c r="AR166" s="342"/>
      <c r="AS166" s="342"/>
      <c r="AT166" s="342"/>
      <c r="AU166" s="342"/>
      <c r="AV166" s="342"/>
      <c r="AW166" s="342"/>
      <c r="AX166" s="342"/>
      <c r="AY166" s="342"/>
      <c r="AZ166" s="342"/>
      <c r="BA166" s="342"/>
      <c r="BB166" s="342"/>
      <c r="BC166" s="342"/>
      <c r="BD166" s="342"/>
      <c r="BE166" s="342"/>
      <c r="BF166" s="342"/>
      <c r="BG166" s="342"/>
      <c r="BH166" s="342"/>
      <c r="BI166" s="342"/>
      <c r="BJ166" s="342"/>
      <c r="BK166" s="342"/>
      <c r="BL166" s="342"/>
      <c r="BM166" s="342"/>
      <c r="BN166" s="342"/>
      <c r="BO166" s="342"/>
      <c r="BP166" s="342"/>
    </row>
    <row r="167" spans="2:68" ht="15">
      <c r="B167" s="342"/>
      <c r="C167" s="342"/>
      <c r="F167" s="342"/>
      <c r="G167" s="342"/>
      <c r="H167" s="342"/>
      <c r="I167" s="342"/>
      <c r="J167" s="342"/>
      <c r="K167" s="342"/>
      <c r="L167" s="342"/>
      <c r="M167" s="342"/>
      <c r="N167" s="342"/>
      <c r="O167" s="342"/>
      <c r="P167" s="342"/>
      <c r="Q167" s="342"/>
      <c r="R167" s="342"/>
      <c r="S167" s="342"/>
      <c r="T167" s="342"/>
      <c r="U167" s="342"/>
      <c r="V167" s="342"/>
      <c r="W167" s="342"/>
      <c r="X167" s="342"/>
      <c r="Y167" s="342"/>
      <c r="Z167" s="342"/>
      <c r="AA167" s="342"/>
      <c r="AB167" s="342"/>
      <c r="AC167" s="342"/>
      <c r="AD167" s="342"/>
      <c r="AE167" s="342"/>
      <c r="AF167" s="342"/>
      <c r="AG167" s="342"/>
      <c r="AH167" s="342"/>
      <c r="AI167" s="342"/>
      <c r="AJ167" s="342"/>
      <c r="AK167" s="342"/>
      <c r="AL167" s="342"/>
      <c r="AM167" s="342"/>
      <c r="AN167" s="342"/>
      <c r="AO167" s="342"/>
      <c r="AP167" s="342"/>
      <c r="AQ167" s="342"/>
      <c r="AR167" s="342"/>
      <c r="AS167" s="342"/>
      <c r="AT167" s="342"/>
      <c r="AU167" s="342"/>
      <c r="AV167" s="342"/>
      <c r="AW167" s="342"/>
      <c r="AX167" s="342"/>
      <c r="AY167" s="342"/>
      <c r="AZ167" s="342"/>
      <c r="BA167" s="342"/>
      <c r="BB167" s="342"/>
      <c r="BC167" s="342"/>
      <c r="BD167" s="342"/>
      <c r="BE167" s="342"/>
      <c r="BF167" s="342"/>
      <c r="BG167" s="342"/>
      <c r="BH167" s="342"/>
      <c r="BI167" s="342"/>
      <c r="BJ167" s="342"/>
      <c r="BK167" s="342"/>
      <c r="BL167" s="342"/>
      <c r="BM167" s="342"/>
      <c r="BN167" s="342"/>
      <c r="BO167" s="342"/>
      <c r="BP167" s="342"/>
    </row>
    <row r="168" spans="2:68" ht="15">
      <c r="B168" s="342"/>
      <c r="C168" s="342"/>
      <c r="F168" s="342"/>
      <c r="G168" s="342"/>
      <c r="H168" s="342"/>
      <c r="I168" s="342"/>
      <c r="J168" s="342"/>
      <c r="K168" s="342"/>
      <c r="L168" s="342"/>
      <c r="M168" s="342"/>
      <c r="N168" s="342"/>
      <c r="O168" s="342"/>
      <c r="P168" s="342"/>
      <c r="Q168" s="342"/>
      <c r="R168" s="342"/>
      <c r="S168" s="342"/>
      <c r="T168" s="342"/>
      <c r="U168" s="342"/>
      <c r="V168" s="342"/>
      <c r="W168" s="342"/>
      <c r="X168" s="342"/>
      <c r="Y168" s="342"/>
      <c r="Z168" s="342"/>
      <c r="AA168" s="342"/>
      <c r="AB168" s="342"/>
      <c r="AC168" s="342"/>
      <c r="AD168" s="342"/>
      <c r="AE168" s="342"/>
      <c r="AF168" s="342"/>
      <c r="AG168" s="342"/>
      <c r="AH168" s="342"/>
      <c r="AI168" s="342"/>
      <c r="AJ168" s="342"/>
      <c r="AK168" s="342"/>
      <c r="AL168" s="342"/>
      <c r="AM168" s="342"/>
      <c r="AN168" s="342"/>
      <c r="AO168" s="342"/>
      <c r="AP168" s="342"/>
      <c r="AQ168" s="342"/>
      <c r="AR168" s="342"/>
      <c r="AS168" s="342"/>
      <c r="AT168" s="342"/>
      <c r="AU168" s="342"/>
      <c r="AV168" s="342"/>
      <c r="AW168" s="342"/>
      <c r="AX168" s="342"/>
      <c r="AY168" s="342"/>
      <c r="AZ168" s="342"/>
      <c r="BA168" s="342"/>
      <c r="BB168" s="342"/>
      <c r="BC168" s="342"/>
      <c r="BD168" s="342"/>
      <c r="BE168" s="342"/>
      <c r="BF168" s="342"/>
      <c r="BG168" s="342"/>
      <c r="BH168" s="342"/>
      <c r="BI168" s="342"/>
      <c r="BJ168" s="342"/>
      <c r="BK168" s="342"/>
      <c r="BL168" s="342"/>
      <c r="BM168" s="342"/>
      <c r="BN168" s="342"/>
      <c r="BO168" s="342"/>
      <c r="BP168" s="342"/>
    </row>
    <row r="169" spans="2:68" ht="15">
      <c r="B169" s="342"/>
      <c r="C169" s="342"/>
      <c r="F169" s="342"/>
      <c r="G169" s="342"/>
      <c r="H169" s="342"/>
      <c r="I169" s="342"/>
      <c r="J169" s="342"/>
      <c r="K169" s="342"/>
      <c r="L169" s="342"/>
      <c r="M169" s="342"/>
      <c r="N169" s="342"/>
      <c r="O169" s="342"/>
      <c r="P169" s="342"/>
      <c r="Q169" s="342"/>
      <c r="R169" s="342"/>
      <c r="S169" s="342"/>
      <c r="T169" s="342"/>
      <c r="U169" s="342"/>
      <c r="V169" s="342"/>
      <c r="W169" s="342"/>
      <c r="X169" s="342"/>
      <c r="Y169" s="342"/>
      <c r="Z169" s="342"/>
      <c r="AA169" s="342"/>
      <c r="AB169" s="342"/>
      <c r="AC169" s="342"/>
      <c r="AD169" s="342"/>
      <c r="AE169" s="342"/>
      <c r="AF169" s="342"/>
      <c r="AG169" s="342"/>
      <c r="AH169" s="342"/>
      <c r="AI169" s="342"/>
      <c r="AJ169" s="342"/>
      <c r="AK169" s="342"/>
      <c r="AL169" s="342"/>
      <c r="AM169" s="342"/>
      <c r="AN169" s="342"/>
      <c r="AO169" s="342"/>
      <c r="AP169" s="342"/>
      <c r="AQ169" s="342"/>
      <c r="AR169" s="342"/>
      <c r="AS169" s="342"/>
      <c r="AT169" s="342"/>
      <c r="AU169" s="342"/>
      <c r="AV169" s="342"/>
      <c r="AW169" s="342"/>
      <c r="AX169" s="342"/>
      <c r="AY169" s="342"/>
      <c r="AZ169" s="342"/>
      <c r="BA169" s="342"/>
      <c r="BB169" s="342"/>
      <c r="BC169" s="342"/>
      <c r="BD169" s="342"/>
      <c r="BE169" s="342"/>
      <c r="BF169" s="342"/>
      <c r="BG169" s="342"/>
      <c r="BH169" s="342"/>
      <c r="BI169" s="342"/>
      <c r="BJ169" s="342"/>
      <c r="BK169" s="342"/>
      <c r="BL169" s="342"/>
      <c r="BM169" s="342"/>
      <c r="BN169" s="342"/>
      <c r="BO169" s="342"/>
      <c r="BP169" s="342"/>
    </row>
    <row r="170" spans="2:68" ht="15">
      <c r="B170" s="342"/>
      <c r="C170" s="342"/>
      <c r="F170" s="342"/>
      <c r="G170" s="342"/>
      <c r="H170" s="342"/>
      <c r="I170" s="342"/>
      <c r="J170" s="342"/>
      <c r="K170" s="342"/>
      <c r="L170" s="342"/>
      <c r="M170" s="342"/>
      <c r="N170" s="342"/>
      <c r="O170" s="342"/>
      <c r="P170" s="342"/>
      <c r="Q170" s="342"/>
      <c r="R170" s="342"/>
      <c r="S170" s="342"/>
      <c r="T170" s="342"/>
      <c r="U170" s="342"/>
      <c r="V170" s="342"/>
      <c r="W170" s="342"/>
      <c r="X170" s="342"/>
      <c r="Y170" s="342"/>
      <c r="Z170" s="342"/>
      <c r="AA170" s="342"/>
      <c r="AB170" s="342"/>
      <c r="AC170" s="342"/>
      <c r="AD170" s="342"/>
      <c r="AE170" s="342"/>
      <c r="AF170" s="342"/>
      <c r="AG170" s="342"/>
      <c r="AH170" s="342"/>
      <c r="AI170" s="342"/>
      <c r="AJ170" s="342"/>
      <c r="AK170" s="342"/>
      <c r="AL170" s="342"/>
      <c r="AM170" s="342"/>
      <c r="AN170" s="342"/>
      <c r="AO170" s="342"/>
      <c r="AP170" s="342"/>
      <c r="AQ170" s="342"/>
      <c r="AR170" s="342"/>
      <c r="AS170" s="342"/>
      <c r="AT170" s="342"/>
      <c r="AU170" s="342"/>
      <c r="AV170" s="342"/>
      <c r="AW170" s="342"/>
      <c r="AX170" s="342"/>
      <c r="AY170" s="342"/>
      <c r="AZ170" s="342"/>
      <c r="BA170" s="342"/>
      <c r="BB170" s="342"/>
      <c r="BC170" s="342"/>
      <c r="BD170" s="342"/>
      <c r="BE170" s="342"/>
      <c r="BF170" s="342"/>
      <c r="BG170" s="342"/>
      <c r="BH170" s="342"/>
      <c r="BI170" s="342"/>
      <c r="BJ170" s="342"/>
      <c r="BK170" s="342"/>
      <c r="BL170" s="342"/>
      <c r="BM170" s="342"/>
      <c r="BN170" s="342"/>
      <c r="BO170" s="342"/>
      <c r="BP170" s="342"/>
    </row>
    <row r="171" spans="2:68" ht="15">
      <c r="B171" s="342"/>
      <c r="C171" s="342"/>
      <c r="F171" s="342"/>
      <c r="G171" s="342"/>
      <c r="H171" s="342"/>
      <c r="I171" s="342"/>
      <c r="J171" s="342"/>
      <c r="K171" s="342"/>
      <c r="L171" s="342"/>
      <c r="M171" s="342"/>
      <c r="N171" s="342"/>
      <c r="O171" s="342"/>
      <c r="P171" s="342"/>
      <c r="Q171" s="342"/>
      <c r="R171" s="342"/>
      <c r="S171" s="342"/>
      <c r="T171" s="342"/>
      <c r="U171" s="342"/>
      <c r="V171" s="342"/>
      <c r="W171" s="342"/>
      <c r="X171" s="342"/>
      <c r="Y171" s="342"/>
      <c r="Z171" s="342"/>
      <c r="AA171" s="342"/>
      <c r="AB171" s="342"/>
      <c r="AC171" s="342"/>
      <c r="AD171" s="342"/>
      <c r="AE171" s="342"/>
      <c r="AF171" s="342"/>
      <c r="AG171" s="342"/>
      <c r="AH171" s="342"/>
      <c r="AI171" s="342"/>
      <c r="AJ171" s="342"/>
      <c r="AK171" s="342"/>
      <c r="AL171" s="342"/>
      <c r="AM171" s="342"/>
      <c r="AN171" s="342"/>
      <c r="AO171" s="342"/>
      <c r="AP171" s="342"/>
      <c r="AQ171" s="342"/>
      <c r="AR171" s="342"/>
      <c r="AS171" s="342"/>
      <c r="AT171" s="342"/>
      <c r="AU171" s="342"/>
      <c r="AV171" s="342"/>
      <c r="AW171" s="342"/>
      <c r="AX171" s="342"/>
      <c r="AY171" s="342"/>
      <c r="AZ171" s="342"/>
      <c r="BA171" s="342"/>
      <c r="BB171" s="342"/>
      <c r="BC171" s="342"/>
      <c r="BD171" s="342"/>
      <c r="BE171" s="342"/>
      <c r="BF171" s="342"/>
      <c r="BG171" s="342"/>
      <c r="BH171" s="342"/>
      <c r="BI171" s="342"/>
      <c r="BJ171" s="342"/>
      <c r="BK171" s="342"/>
      <c r="BL171" s="342"/>
      <c r="BM171" s="342"/>
      <c r="BN171" s="342"/>
      <c r="BO171" s="342"/>
      <c r="BP171" s="342"/>
    </row>
    <row r="172" spans="2:68" ht="15">
      <c r="B172" s="342"/>
      <c r="C172" s="342"/>
      <c r="F172" s="342"/>
      <c r="G172" s="342"/>
      <c r="H172" s="342"/>
      <c r="I172" s="342"/>
      <c r="J172" s="342"/>
      <c r="K172" s="342"/>
      <c r="L172" s="342"/>
      <c r="M172" s="342"/>
      <c r="N172" s="342"/>
      <c r="O172" s="342"/>
      <c r="P172" s="342"/>
      <c r="Q172" s="342"/>
      <c r="R172" s="342"/>
      <c r="S172" s="342"/>
      <c r="T172" s="342"/>
      <c r="U172" s="342"/>
      <c r="V172" s="342"/>
      <c r="W172" s="342"/>
      <c r="X172" s="342"/>
      <c r="Y172" s="342"/>
      <c r="Z172" s="342"/>
      <c r="AA172" s="342"/>
      <c r="AB172" s="342"/>
      <c r="AC172" s="342"/>
      <c r="AD172" s="342"/>
      <c r="AE172" s="342"/>
      <c r="AF172" s="342"/>
      <c r="AG172" s="342"/>
      <c r="AH172" s="342"/>
      <c r="AI172" s="342"/>
      <c r="AJ172" s="342"/>
      <c r="AK172" s="342"/>
      <c r="AL172" s="342"/>
      <c r="AM172" s="342"/>
      <c r="AN172" s="342"/>
      <c r="AO172" s="342"/>
      <c r="AP172" s="342"/>
      <c r="AQ172" s="342"/>
      <c r="AR172" s="342"/>
      <c r="AS172" s="342"/>
      <c r="AT172" s="342"/>
      <c r="AU172" s="342"/>
      <c r="AV172" s="342"/>
      <c r="AW172" s="342"/>
      <c r="AX172" s="342"/>
      <c r="AY172" s="342"/>
      <c r="AZ172" s="342"/>
      <c r="BA172" s="342"/>
      <c r="BB172" s="342"/>
      <c r="BC172" s="342"/>
      <c r="BD172" s="342"/>
      <c r="BE172" s="342"/>
      <c r="BF172" s="342"/>
      <c r="BG172" s="342"/>
      <c r="BH172" s="342"/>
      <c r="BI172" s="342"/>
      <c r="BJ172" s="342"/>
      <c r="BK172" s="342"/>
      <c r="BL172" s="342"/>
      <c r="BM172" s="342"/>
      <c r="BN172" s="342"/>
      <c r="BO172" s="342"/>
      <c r="BP172" s="342"/>
    </row>
    <row r="173" spans="2:68" ht="15">
      <c r="B173" s="342"/>
      <c r="C173" s="342"/>
      <c r="F173" s="342"/>
      <c r="G173" s="342"/>
      <c r="H173" s="342"/>
      <c r="I173" s="342"/>
      <c r="J173" s="342"/>
      <c r="K173" s="342"/>
      <c r="L173" s="342"/>
      <c r="M173" s="342"/>
      <c r="N173" s="342"/>
      <c r="O173" s="342"/>
      <c r="P173" s="342"/>
      <c r="Q173" s="342"/>
      <c r="R173" s="342"/>
      <c r="S173" s="342"/>
      <c r="T173" s="342"/>
      <c r="U173" s="342"/>
      <c r="V173" s="342"/>
      <c r="W173" s="342"/>
      <c r="X173" s="342"/>
      <c r="Y173" s="342"/>
      <c r="Z173" s="342"/>
      <c r="AA173" s="342"/>
      <c r="AB173" s="342"/>
      <c r="AC173" s="342"/>
      <c r="AD173" s="342"/>
      <c r="AE173" s="342"/>
      <c r="AF173" s="342"/>
      <c r="AG173" s="342"/>
      <c r="AH173" s="342"/>
      <c r="AI173" s="342"/>
      <c r="AJ173" s="342"/>
      <c r="AK173" s="342"/>
      <c r="AL173" s="342"/>
      <c r="AM173" s="342"/>
      <c r="AN173" s="342"/>
      <c r="AO173" s="342"/>
      <c r="AP173" s="342"/>
      <c r="AQ173" s="342"/>
      <c r="AR173" s="342"/>
      <c r="AS173" s="342"/>
      <c r="AT173" s="342"/>
      <c r="AU173" s="342"/>
      <c r="AV173" s="342"/>
      <c r="AW173" s="342"/>
      <c r="AX173" s="342"/>
      <c r="AY173" s="342"/>
      <c r="AZ173" s="342"/>
      <c r="BA173" s="342"/>
      <c r="BB173" s="342"/>
      <c r="BC173" s="342"/>
      <c r="BD173" s="342"/>
      <c r="BE173" s="342"/>
      <c r="BF173" s="342"/>
      <c r="BG173" s="342"/>
      <c r="BH173" s="342"/>
      <c r="BI173" s="342"/>
      <c r="BJ173" s="342"/>
      <c r="BK173" s="342"/>
      <c r="BL173" s="342"/>
      <c r="BM173" s="342"/>
      <c r="BN173" s="342"/>
      <c r="BO173" s="342"/>
      <c r="BP173" s="342"/>
    </row>
    <row r="174" spans="2:68" ht="15">
      <c r="B174" s="342"/>
      <c r="C174" s="342"/>
      <c r="F174" s="342"/>
      <c r="G174" s="342"/>
      <c r="H174" s="342"/>
      <c r="I174" s="342"/>
      <c r="J174" s="342"/>
      <c r="K174" s="342"/>
      <c r="L174" s="342"/>
      <c r="M174" s="342"/>
      <c r="N174" s="342"/>
      <c r="O174" s="342"/>
      <c r="P174" s="342"/>
      <c r="Q174" s="342"/>
      <c r="R174" s="342"/>
      <c r="S174" s="342"/>
      <c r="T174" s="342"/>
      <c r="U174" s="342"/>
      <c r="V174" s="342"/>
      <c r="W174" s="342"/>
      <c r="X174" s="342"/>
      <c r="Y174" s="342"/>
      <c r="Z174" s="342"/>
      <c r="AA174" s="342"/>
      <c r="AB174" s="342"/>
      <c r="AC174" s="342"/>
      <c r="AD174" s="342"/>
      <c r="AE174" s="342"/>
      <c r="AF174" s="342"/>
      <c r="AG174" s="342"/>
      <c r="AH174" s="342"/>
      <c r="AI174" s="342"/>
      <c r="AJ174" s="342"/>
      <c r="AK174" s="342"/>
      <c r="AL174" s="342"/>
      <c r="AM174" s="342"/>
      <c r="AN174" s="342"/>
      <c r="AO174" s="342"/>
      <c r="AP174" s="342"/>
      <c r="AQ174" s="342"/>
      <c r="AR174" s="342"/>
      <c r="AS174" s="342"/>
      <c r="AT174" s="342"/>
      <c r="AU174" s="342"/>
      <c r="AV174" s="342"/>
      <c r="AW174" s="342"/>
      <c r="AX174" s="342"/>
      <c r="AY174" s="342"/>
      <c r="AZ174" s="342"/>
      <c r="BA174" s="342"/>
      <c r="BB174" s="342"/>
      <c r="BC174" s="342"/>
      <c r="BD174" s="342"/>
      <c r="BE174" s="342"/>
      <c r="BF174" s="342"/>
      <c r="BG174" s="342"/>
      <c r="BH174" s="342"/>
      <c r="BI174" s="342"/>
      <c r="BJ174" s="342"/>
      <c r="BK174" s="342"/>
      <c r="BL174" s="342"/>
      <c r="BM174" s="342"/>
      <c r="BN174" s="342"/>
      <c r="BO174" s="342"/>
      <c r="BP174" s="342"/>
    </row>
    <row r="175" spans="2:68" ht="15">
      <c r="B175" s="342"/>
      <c r="C175" s="342"/>
      <c r="F175" s="342"/>
      <c r="G175" s="342"/>
      <c r="H175" s="342"/>
      <c r="I175" s="342"/>
      <c r="J175" s="342"/>
      <c r="K175" s="342"/>
      <c r="L175" s="342"/>
      <c r="M175" s="342"/>
      <c r="N175" s="342"/>
      <c r="O175" s="342"/>
      <c r="P175" s="342"/>
      <c r="Q175" s="342"/>
      <c r="R175" s="342"/>
      <c r="S175" s="342"/>
      <c r="T175" s="342"/>
      <c r="U175" s="342"/>
      <c r="V175" s="342"/>
      <c r="W175" s="342"/>
      <c r="X175" s="342"/>
      <c r="Y175" s="342"/>
      <c r="Z175" s="342"/>
      <c r="AA175" s="342"/>
      <c r="AB175" s="342"/>
      <c r="AC175" s="342"/>
      <c r="AD175" s="342"/>
      <c r="AE175" s="342"/>
      <c r="AF175" s="342"/>
      <c r="AG175" s="342"/>
      <c r="AH175" s="342"/>
      <c r="AI175" s="342"/>
      <c r="AJ175" s="342"/>
      <c r="AK175" s="342"/>
      <c r="AL175" s="342"/>
      <c r="AM175" s="342"/>
      <c r="AN175" s="342"/>
      <c r="AO175" s="342"/>
      <c r="AP175" s="342"/>
      <c r="AQ175" s="342"/>
      <c r="AR175" s="342"/>
      <c r="AS175" s="342"/>
      <c r="AT175" s="342"/>
      <c r="AU175" s="342"/>
      <c r="AV175" s="342"/>
      <c r="AW175" s="342"/>
      <c r="AX175" s="342"/>
      <c r="AY175" s="342"/>
      <c r="AZ175" s="342"/>
      <c r="BA175" s="342"/>
      <c r="BB175" s="342"/>
      <c r="BC175" s="342"/>
      <c r="BD175" s="342"/>
      <c r="BE175" s="342"/>
      <c r="BF175" s="342"/>
      <c r="BG175" s="342"/>
      <c r="BH175" s="342"/>
      <c r="BI175" s="342"/>
      <c r="BJ175" s="342"/>
      <c r="BK175" s="342"/>
      <c r="BL175" s="342"/>
      <c r="BM175" s="342"/>
      <c r="BN175" s="342"/>
      <c r="BO175" s="342"/>
      <c r="BP175" s="342"/>
    </row>
    <row r="176" spans="2:68" ht="15">
      <c r="B176" s="342"/>
      <c r="C176" s="342"/>
      <c r="F176" s="342"/>
      <c r="G176" s="342"/>
      <c r="H176" s="342"/>
      <c r="I176" s="342"/>
      <c r="J176" s="342"/>
      <c r="K176" s="342"/>
      <c r="L176" s="342"/>
      <c r="M176" s="342"/>
      <c r="N176" s="342"/>
      <c r="O176" s="342"/>
      <c r="P176" s="342"/>
      <c r="Q176" s="342"/>
      <c r="R176" s="342"/>
      <c r="S176" s="342"/>
      <c r="T176" s="342"/>
      <c r="U176" s="342"/>
      <c r="V176" s="342"/>
      <c r="W176" s="342"/>
      <c r="X176" s="342"/>
      <c r="Y176" s="342"/>
      <c r="Z176" s="342"/>
      <c r="AA176" s="342"/>
      <c r="AB176" s="342"/>
      <c r="AC176" s="342"/>
      <c r="AD176" s="342"/>
      <c r="AE176" s="342"/>
      <c r="AF176" s="342"/>
      <c r="AG176" s="342"/>
      <c r="AH176" s="342"/>
      <c r="AI176" s="342"/>
      <c r="AJ176" s="342"/>
      <c r="AK176" s="342"/>
      <c r="AL176" s="342"/>
      <c r="AM176" s="342"/>
      <c r="AN176" s="342"/>
      <c r="AO176" s="342"/>
      <c r="AP176" s="342"/>
      <c r="AQ176" s="342"/>
      <c r="AR176" s="342"/>
      <c r="AS176" s="342"/>
      <c r="AT176" s="342"/>
      <c r="AU176" s="342"/>
      <c r="AV176" s="342"/>
      <c r="AW176" s="342"/>
      <c r="AX176" s="342"/>
      <c r="AY176" s="342"/>
      <c r="AZ176" s="342"/>
      <c r="BA176" s="342"/>
      <c r="BB176" s="342"/>
      <c r="BC176" s="342"/>
      <c r="BD176" s="342"/>
      <c r="BE176" s="342"/>
      <c r="BF176" s="342"/>
      <c r="BG176" s="342"/>
      <c r="BH176" s="342"/>
      <c r="BI176" s="342"/>
      <c r="BJ176" s="342"/>
      <c r="BK176" s="342"/>
      <c r="BL176" s="342"/>
      <c r="BM176" s="342"/>
      <c r="BN176" s="342"/>
      <c r="BO176" s="342"/>
      <c r="BP176" s="342"/>
    </row>
  </sheetData>
  <mergeCells count="80">
    <mergeCell ref="B1:J1"/>
    <mergeCell ref="L1:P1"/>
    <mergeCell ref="R1:V1"/>
    <mergeCell ref="X1:AA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L2:L3"/>
    <mergeCell ref="M2:M3"/>
    <mergeCell ref="N2:N3"/>
    <mergeCell ref="O2:O3"/>
    <mergeCell ref="P2:P3"/>
    <mergeCell ref="R2:R3"/>
    <mergeCell ref="S2:S3"/>
    <mergeCell ref="T2:T3"/>
    <mergeCell ref="U2:U3"/>
    <mergeCell ref="V2:V3"/>
    <mergeCell ref="X2:Y3"/>
    <mergeCell ref="Z2:Z3"/>
    <mergeCell ref="AA2:AA3"/>
    <mergeCell ref="X4:AA4"/>
    <mergeCell ref="X5:Y5"/>
    <mergeCell ref="X6:Y6"/>
    <mergeCell ref="X7:Y7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C38:I38"/>
    <mergeCell ref="L38:O39"/>
    <mergeCell ref="P38:P39"/>
    <mergeCell ref="R38:U39"/>
    <mergeCell ref="V38:V39"/>
    <mergeCell ref="X38:AA39"/>
    <mergeCell ref="R41:U42"/>
    <mergeCell ref="AB38:AB39"/>
    <mergeCell ref="C39:G39"/>
    <mergeCell ref="H39:I39"/>
    <mergeCell ref="C40:I40"/>
    <mergeCell ref="L40:M40"/>
    <mergeCell ref="N40:O40"/>
    <mergeCell ref="R40:S40"/>
    <mergeCell ref="T40:U40"/>
    <mergeCell ref="Z40:AA40"/>
    <mergeCell ref="V41:V42"/>
    <mergeCell ref="X41:AA42"/>
    <mergeCell ref="AB41:AB42"/>
    <mergeCell ref="B43:I43"/>
    <mergeCell ref="N43:O43"/>
    <mergeCell ref="T43:U43"/>
    <mergeCell ref="Z43:AA43"/>
    <mergeCell ref="H41:I41"/>
    <mergeCell ref="L41:O42"/>
    <mergeCell ref="P41:P42"/>
    <mergeCell ref="B48:I48"/>
    <mergeCell ref="B44:I44"/>
    <mergeCell ref="B45:I45"/>
    <mergeCell ref="B46:I46"/>
    <mergeCell ref="B47:I47"/>
  </mergeCells>
  <dataValidations count="1">
    <dataValidation allowBlank="1" showInputMessage="1" showErrorMessage="1" promptTitle="&quot;Биекс Одит&quot; ООД:" prompt="Въведи числото със знак минус &quot;-&quot;!&#10;" sqref="Z7:AA7 Z10:AA10 Z13:AA13 Z16:AA16 Z19:AA19 Z22:AA22 Z25:AA25">
      <formula1>0</formula1>
      <formula2>0</formula2>
    </dataValidation>
  </dataValidations>
  <printOptions horizontalCentered="1" verticalCentered="1"/>
  <pageMargins left="0.7479166666666667" right="0.7479166666666667" top="0.1701388888888889" bottom="0.1701388888888889" header="0.5118055555555556" footer="0.5118055555555556"/>
  <pageSetup horizontalDpi="300" verticalDpi="300" orientation="landscape" paperSize="9" scale="79" r:id="rId1"/>
  <rowBreaks count="1" manualBreakCount="1">
    <brk id="31" max="255" man="1"/>
  </rowBreaks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T197"/>
  <sheetViews>
    <sheetView workbookViewId="0" topLeftCell="A100">
      <selection activeCell="K86" sqref="K86:L86"/>
    </sheetView>
  </sheetViews>
  <sheetFormatPr defaultColWidth="9.140625" defaultRowHeight="12.75"/>
  <cols>
    <col min="1" max="1" width="4.28125" style="1" customWidth="1"/>
    <col min="2" max="6" width="6.28125" style="1" customWidth="1"/>
    <col min="7" max="7" width="6.140625" style="1" customWidth="1"/>
    <col min="8" max="8" width="5.00390625" style="1" customWidth="1"/>
    <col min="9" max="9" width="6.140625" style="1" customWidth="1"/>
    <col min="10" max="10" width="5.140625" style="1" customWidth="1"/>
    <col min="11" max="11" width="6.140625" style="1" customWidth="1"/>
    <col min="12" max="12" width="6.28125" style="1" customWidth="1"/>
    <col min="13" max="13" width="6.140625" style="1" customWidth="1"/>
    <col min="14" max="14" width="5.00390625" style="1" customWidth="1"/>
    <col min="15" max="16384" width="9.140625" style="1" customWidth="1"/>
  </cols>
  <sheetData>
    <row r="1" spans="2:14" ht="14.25">
      <c r="B1" s="705" t="s">
        <v>264</v>
      </c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</row>
    <row r="2" spans="2:14" ht="12.75">
      <c r="B2" s="684" t="s">
        <v>265</v>
      </c>
      <c r="C2" s="684"/>
      <c r="D2" s="684"/>
      <c r="E2" s="684"/>
      <c r="F2" s="684"/>
      <c r="G2" s="684"/>
      <c r="H2" s="684"/>
      <c r="I2" s="684"/>
      <c r="J2" s="684"/>
      <c r="K2" s="702">
        <f>НАЧАЛО!AA2</f>
        <v>40451</v>
      </c>
      <c r="L2" s="702"/>
      <c r="M2" s="684" t="str">
        <f>CONCATENATE("31.12.",YEAR(K2)-1," г.")</f>
        <v>31.12.2009 г.</v>
      </c>
      <c r="N2" s="684"/>
    </row>
    <row r="3" spans="2:14" ht="12.75">
      <c r="B3" s="684"/>
      <c r="C3" s="684"/>
      <c r="D3" s="684"/>
      <c r="E3" s="684"/>
      <c r="F3" s="684"/>
      <c r="G3" s="684"/>
      <c r="H3" s="684"/>
      <c r="I3" s="684"/>
      <c r="J3" s="684"/>
      <c r="K3" s="702"/>
      <c r="L3" s="702"/>
      <c r="M3" s="684"/>
      <c r="N3" s="684"/>
    </row>
    <row r="4" spans="2:14" ht="12.75">
      <c r="B4" s="689" t="s">
        <v>266</v>
      </c>
      <c r="C4" s="689"/>
      <c r="D4" s="689"/>
      <c r="E4" s="689"/>
      <c r="F4" s="689"/>
      <c r="G4" s="689"/>
      <c r="H4" s="689"/>
      <c r="I4" s="689"/>
      <c r="J4" s="689"/>
      <c r="K4" s="703">
        <v>479</v>
      </c>
      <c r="L4" s="703"/>
      <c r="M4" s="703">
        <v>357</v>
      </c>
      <c r="N4" s="703"/>
    </row>
    <row r="5" spans="2:20" ht="12.75">
      <c r="B5" s="689" t="s">
        <v>267</v>
      </c>
      <c r="C5" s="689"/>
      <c r="D5" s="689"/>
      <c r="E5" s="689"/>
      <c r="F5" s="689"/>
      <c r="G5" s="689"/>
      <c r="H5" s="689"/>
      <c r="I5" s="689"/>
      <c r="J5" s="689"/>
      <c r="K5" s="703"/>
      <c r="L5" s="703"/>
      <c r="M5" s="703"/>
      <c r="N5" s="703"/>
      <c r="P5" s="681" t="str">
        <f>IF(AND(S6="",S8=""),"","Разлика между БАЛАНСА и ПРИЛОЖЕНИЕТО!")</f>
        <v>Разлика между БАЛАНСА и ПРИЛОЖЕНИЕТО!</v>
      </c>
      <c r="Q5" s="681"/>
      <c r="R5" s="681"/>
      <c r="S5" s="681"/>
      <c r="T5" s="681"/>
    </row>
    <row r="6" spans="2:20" ht="12.75">
      <c r="B6" s="689" t="s">
        <v>268</v>
      </c>
      <c r="C6" s="689"/>
      <c r="D6" s="689"/>
      <c r="E6" s="689"/>
      <c r="F6" s="689"/>
      <c r="G6" s="689"/>
      <c r="H6" s="689"/>
      <c r="I6" s="689"/>
      <c r="J6" s="689"/>
      <c r="K6" s="703"/>
      <c r="L6" s="703"/>
      <c r="M6" s="703"/>
      <c r="N6" s="703"/>
      <c r="P6" s="680" t="str">
        <f>IF(S6="","","Разлика текущ период:")</f>
        <v>Разлика текущ период:</v>
      </c>
      <c r="Q6" s="680"/>
      <c r="R6" s="680"/>
      <c r="S6" s="405">
        <f>IF(K9=баланс!E15,"",K9-баланс!E15)</f>
        <v>-354</v>
      </c>
      <c r="T6" s="406"/>
    </row>
    <row r="7" spans="2:20" ht="12.75">
      <c r="B7" s="689" t="s">
        <v>269</v>
      </c>
      <c r="C7" s="689"/>
      <c r="D7" s="689"/>
      <c r="E7" s="689"/>
      <c r="F7" s="689"/>
      <c r="G7" s="689"/>
      <c r="H7" s="689"/>
      <c r="I7" s="689"/>
      <c r="J7" s="689"/>
      <c r="K7" s="703"/>
      <c r="L7" s="703"/>
      <c r="M7" s="703"/>
      <c r="N7" s="703"/>
      <c r="P7" s="678" t="str">
        <f>IF(S6="","","Сума по баланс:")</f>
        <v>Сума по баланс:</v>
      </c>
      <c r="Q7" s="678"/>
      <c r="R7" s="678"/>
      <c r="S7" s="407">
        <f>IF(S6="","",баланс!E15)</f>
        <v>833</v>
      </c>
      <c r="T7" s="406"/>
    </row>
    <row r="8" spans="2:20" ht="12.75">
      <c r="B8" s="689" t="s">
        <v>270</v>
      </c>
      <c r="C8" s="689"/>
      <c r="D8" s="689"/>
      <c r="E8" s="689"/>
      <c r="F8" s="689"/>
      <c r="G8" s="689"/>
      <c r="H8" s="689"/>
      <c r="I8" s="689"/>
      <c r="J8" s="689"/>
      <c r="K8" s="703"/>
      <c r="L8" s="703"/>
      <c r="M8" s="703"/>
      <c r="N8" s="703"/>
      <c r="P8" s="680" t="str">
        <f>IF(S8="","","Разлика предходен период:")</f>
        <v>Разлика предходен период:</v>
      </c>
      <c r="Q8" s="680"/>
      <c r="R8" s="680"/>
      <c r="S8" s="405">
        <f>IF(M9=баланс!G15,"",M9-баланс!G15)</f>
        <v>-2752</v>
      </c>
      <c r="T8" s="406"/>
    </row>
    <row r="9" spans="2:20" ht="12.75">
      <c r="B9" s="688" t="s">
        <v>231</v>
      </c>
      <c r="C9" s="688"/>
      <c r="D9" s="688"/>
      <c r="E9" s="688"/>
      <c r="F9" s="688"/>
      <c r="G9" s="688"/>
      <c r="H9" s="688"/>
      <c r="I9" s="688"/>
      <c r="J9" s="688"/>
      <c r="K9" s="677">
        <f>SUM(K4:L7)</f>
        <v>479</v>
      </c>
      <c r="L9" s="677"/>
      <c r="M9" s="677">
        <f>SUM(M4:N7)</f>
        <v>357</v>
      </c>
      <c r="N9" s="677"/>
      <c r="P9" s="678" t="str">
        <f>IF(S8="","","Сума по баланс:")</f>
        <v>Сума по баланс:</v>
      </c>
      <c r="Q9" s="678"/>
      <c r="R9" s="678"/>
      <c r="S9" s="407">
        <f>IF(S8="","",баланс!G15)</f>
        <v>3109</v>
      </c>
      <c r="T9" s="406"/>
    </row>
    <row r="10" spans="2:14" ht="14.25">
      <c r="B10" s="686" t="s">
        <v>271</v>
      </c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</row>
    <row r="11" spans="2:14" ht="12.75">
      <c r="B11" s="704" t="s">
        <v>272</v>
      </c>
      <c r="C11" s="704"/>
      <c r="D11" s="704"/>
      <c r="E11" s="704"/>
      <c r="F11" s="704"/>
      <c r="G11" s="701">
        <f>НАЧАЛО!AA2</f>
        <v>40451</v>
      </c>
      <c r="H11" s="701"/>
      <c r="I11" s="701"/>
      <c r="J11" s="701"/>
      <c r="K11" s="699" t="str">
        <f>CONCATENATE("31.12.",YEAR(G11)-1," г.")</f>
        <v>31.12.2009 г.</v>
      </c>
      <c r="L11" s="699"/>
      <c r="M11" s="699"/>
      <c r="N11" s="699"/>
    </row>
    <row r="12" spans="2:14" ht="12.75">
      <c r="B12" s="704"/>
      <c r="C12" s="704"/>
      <c r="D12" s="704"/>
      <c r="E12" s="704"/>
      <c r="F12" s="704"/>
      <c r="G12" s="699" t="s">
        <v>273</v>
      </c>
      <c r="H12" s="699"/>
      <c r="I12" s="699" t="s">
        <v>274</v>
      </c>
      <c r="J12" s="699"/>
      <c r="K12" s="699" t="s">
        <v>273</v>
      </c>
      <c r="L12" s="699"/>
      <c r="M12" s="699" t="s">
        <v>274</v>
      </c>
      <c r="N12" s="699"/>
    </row>
    <row r="13" spans="2:14" ht="12.75">
      <c r="B13" s="696" t="s">
        <v>275</v>
      </c>
      <c r="C13" s="696"/>
      <c r="D13" s="696"/>
      <c r="E13" s="696"/>
      <c r="F13" s="696"/>
      <c r="G13" s="697">
        <v>1</v>
      </c>
      <c r="H13" s="697"/>
      <c r="I13" s="703">
        <v>4</v>
      </c>
      <c r="J13" s="703"/>
      <c r="K13" s="697">
        <v>1</v>
      </c>
      <c r="L13" s="697"/>
      <c r="M13" s="703">
        <v>4</v>
      </c>
      <c r="N13" s="703"/>
    </row>
    <row r="14" spans="2:14" ht="12.75">
      <c r="B14" s="696" t="s">
        <v>276</v>
      </c>
      <c r="C14" s="696"/>
      <c r="D14" s="696"/>
      <c r="E14" s="696"/>
      <c r="F14" s="696"/>
      <c r="G14" s="697">
        <v>1</v>
      </c>
      <c r="H14" s="697"/>
      <c r="I14" s="703">
        <v>3</v>
      </c>
      <c r="J14" s="703"/>
      <c r="K14" s="697">
        <v>1</v>
      </c>
      <c r="L14" s="697"/>
      <c r="M14" s="703">
        <v>3</v>
      </c>
      <c r="N14" s="703"/>
    </row>
    <row r="15" spans="2:14" ht="12.75">
      <c r="B15" s="696" t="s">
        <v>277</v>
      </c>
      <c r="C15" s="696"/>
      <c r="D15" s="696"/>
      <c r="E15" s="696"/>
      <c r="F15" s="696"/>
      <c r="G15" s="697">
        <v>0.7</v>
      </c>
      <c r="H15" s="697"/>
      <c r="I15" s="703">
        <v>455</v>
      </c>
      <c r="J15" s="703"/>
      <c r="K15" s="697">
        <v>0.7</v>
      </c>
      <c r="L15" s="697"/>
      <c r="M15" s="703">
        <v>350</v>
      </c>
      <c r="N15" s="703"/>
    </row>
    <row r="16" spans="2:14" ht="12.75">
      <c r="B16" s="696"/>
      <c r="C16" s="696"/>
      <c r="D16" s="696"/>
      <c r="E16" s="696"/>
      <c r="F16" s="696"/>
      <c r="G16" s="697"/>
      <c r="H16" s="697"/>
      <c r="I16" s="703"/>
      <c r="J16" s="703"/>
      <c r="K16" s="697"/>
      <c r="L16" s="697"/>
      <c r="M16" s="703"/>
      <c r="N16" s="703"/>
    </row>
    <row r="17" spans="2:14" ht="12.75">
      <c r="B17" s="696"/>
      <c r="C17" s="696"/>
      <c r="D17" s="696"/>
      <c r="E17" s="696"/>
      <c r="F17" s="696"/>
      <c r="G17" s="697"/>
      <c r="H17" s="697"/>
      <c r="I17" s="703"/>
      <c r="J17" s="703"/>
      <c r="K17" s="697"/>
      <c r="L17" s="697"/>
      <c r="M17" s="703"/>
      <c r="N17" s="703"/>
    </row>
    <row r="18" spans="2:14" ht="12.75">
      <c r="B18" s="696"/>
      <c r="C18" s="696"/>
      <c r="D18" s="696"/>
      <c r="E18" s="696"/>
      <c r="F18" s="696"/>
      <c r="G18" s="697"/>
      <c r="H18" s="697"/>
      <c r="I18" s="703"/>
      <c r="J18" s="703"/>
      <c r="K18" s="697"/>
      <c r="L18" s="697"/>
      <c r="M18" s="703"/>
      <c r="N18" s="703"/>
    </row>
    <row r="19" spans="2:20" ht="12.75">
      <c r="B19" s="696"/>
      <c r="C19" s="696"/>
      <c r="D19" s="696"/>
      <c r="E19" s="696"/>
      <c r="F19" s="696"/>
      <c r="G19" s="697"/>
      <c r="H19" s="697"/>
      <c r="I19" s="703"/>
      <c r="J19" s="703"/>
      <c r="K19" s="697"/>
      <c r="L19" s="697"/>
      <c r="M19" s="703"/>
      <c r="N19" s="703"/>
      <c r="P19" s="681">
        <f>IF(AND(S20="",S22=""),"","Разлика между ИНВЕСТИЦИИТЕ и ПРИЛ. №1!")</f>
      </c>
      <c r="Q19" s="681"/>
      <c r="R19" s="681"/>
      <c r="S19" s="681"/>
      <c r="T19" s="681"/>
    </row>
    <row r="20" spans="2:20" ht="12.75">
      <c r="B20" s="696"/>
      <c r="C20" s="696"/>
      <c r="D20" s="696"/>
      <c r="E20" s="696"/>
      <c r="F20" s="696"/>
      <c r="G20" s="697"/>
      <c r="H20" s="697"/>
      <c r="I20" s="703"/>
      <c r="J20" s="703"/>
      <c r="K20" s="697"/>
      <c r="L20" s="697"/>
      <c r="M20" s="703"/>
      <c r="N20" s="703"/>
      <c r="P20" s="680">
        <f>IF(S20="","","Разлика текущ период:")</f>
      </c>
      <c r="Q20" s="680"/>
      <c r="R20" s="680"/>
      <c r="S20" s="405">
        <f>IF(I$23+I$37+I$51=K$4,"",I$23+I$37+I$51-K$4)</f>
      </c>
      <c r="T20" s="406"/>
    </row>
    <row r="21" spans="2:20" ht="12.75">
      <c r="B21" s="696"/>
      <c r="C21" s="696"/>
      <c r="D21" s="696"/>
      <c r="E21" s="696"/>
      <c r="F21" s="696"/>
      <c r="G21" s="697"/>
      <c r="H21" s="697"/>
      <c r="I21" s="703"/>
      <c r="J21" s="703"/>
      <c r="K21" s="697"/>
      <c r="L21" s="697"/>
      <c r="M21" s="703"/>
      <c r="N21" s="703"/>
      <c r="P21" s="678">
        <f>IF(S20="","","Обща сума на инвестицците:")</f>
      </c>
      <c r="Q21" s="678"/>
      <c r="R21" s="678"/>
      <c r="S21" s="407">
        <f>IF(I$23+I$37+I$51=K$4,"",I$23+I$37+I$51)</f>
      </c>
      <c r="T21" s="406"/>
    </row>
    <row r="22" spans="2:20" ht="12.75">
      <c r="B22" s="696"/>
      <c r="C22" s="696"/>
      <c r="D22" s="696"/>
      <c r="E22" s="696"/>
      <c r="F22" s="696"/>
      <c r="G22" s="697"/>
      <c r="H22" s="697"/>
      <c r="I22" s="703"/>
      <c r="J22" s="703"/>
      <c r="K22" s="697"/>
      <c r="L22" s="697"/>
      <c r="M22" s="703"/>
      <c r="N22" s="703"/>
      <c r="P22" s="680">
        <f>IF(S22="","","Разлика предходен период:")</f>
      </c>
      <c r="Q22" s="680"/>
      <c r="R22" s="680"/>
      <c r="S22" s="405">
        <f>IF(M$23+M$37+M$51=M$4,"",M$23+M$37+M$51-M$4)</f>
      </c>
      <c r="T22" s="406"/>
    </row>
    <row r="23" spans="2:20" ht="12.75">
      <c r="B23" s="688" t="s">
        <v>231</v>
      </c>
      <c r="C23" s="688"/>
      <c r="D23" s="688"/>
      <c r="E23" s="688"/>
      <c r="F23" s="688"/>
      <c r="G23" s="695"/>
      <c r="H23" s="695"/>
      <c r="I23" s="694">
        <f>SUM(I13:J22)</f>
        <v>462</v>
      </c>
      <c r="J23" s="694"/>
      <c r="K23" s="695"/>
      <c r="L23" s="695"/>
      <c r="M23" s="694">
        <f>SUM(M13:N22)</f>
        <v>357</v>
      </c>
      <c r="N23" s="694"/>
      <c r="P23" s="678">
        <f>IF(S22="","","Обща сума на инвестицците:")</f>
      </c>
      <c r="Q23" s="678"/>
      <c r="R23" s="678"/>
      <c r="S23" s="407">
        <f>IF(M$23+M$37+M$51=M$4,"",M$23+M$37+M$51)</f>
      </c>
      <c r="T23" s="406"/>
    </row>
    <row r="24" spans="2:14" ht="14.25">
      <c r="B24" s="686" t="s">
        <v>278</v>
      </c>
      <c r="C24" s="686"/>
      <c r="D24" s="686"/>
      <c r="E24" s="686"/>
      <c r="F24" s="686"/>
      <c r="G24" s="686"/>
      <c r="H24" s="686"/>
      <c r="I24" s="686"/>
      <c r="J24" s="686"/>
      <c r="K24" s="686"/>
      <c r="L24" s="686"/>
      <c r="M24" s="686"/>
      <c r="N24" s="686"/>
    </row>
    <row r="25" spans="2:14" ht="12.75">
      <c r="B25" s="704" t="s">
        <v>272</v>
      </c>
      <c r="C25" s="704"/>
      <c r="D25" s="704"/>
      <c r="E25" s="704"/>
      <c r="F25" s="704"/>
      <c r="G25" s="701">
        <f>G11</f>
        <v>40451</v>
      </c>
      <c r="H25" s="701"/>
      <c r="I25" s="701"/>
      <c r="J25" s="701"/>
      <c r="K25" s="701" t="str">
        <f>K11</f>
        <v>31.12.2009 г.</v>
      </c>
      <c r="L25" s="701"/>
      <c r="M25" s="701"/>
      <c r="N25" s="701"/>
    </row>
    <row r="26" spans="2:14" ht="12.75">
      <c r="B26" s="704"/>
      <c r="C26" s="704"/>
      <c r="D26" s="704"/>
      <c r="E26" s="704"/>
      <c r="F26" s="704"/>
      <c r="G26" s="699" t="s">
        <v>273</v>
      </c>
      <c r="H26" s="699"/>
      <c r="I26" s="699" t="s">
        <v>274</v>
      </c>
      <c r="J26" s="699"/>
      <c r="K26" s="699" t="s">
        <v>273</v>
      </c>
      <c r="L26" s="699"/>
      <c r="M26" s="699" t="s">
        <v>274</v>
      </c>
      <c r="N26" s="699"/>
    </row>
    <row r="27" spans="2:14" ht="12.75">
      <c r="B27" s="696" t="s">
        <v>279</v>
      </c>
      <c r="C27" s="696"/>
      <c r="D27" s="696"/>
      <c r="E27" s="696"/>
      <c r="F27" s="696"/>
      <c r="G27" s="697">
        <v>0.33</v>
      </c>
      <c r="H27" s="697"/>
      <c r="I27" s="703">
        <v>17</v>
      </c>
      <c r="J27" s="703"/>
      <c r="K27" s="697"/>
      <c r="L27" s="697"/>
      <c r="M27" s="703"/>
      <c r="N27" s="703"/>
    </row>
    <row r="28" spans="2:14" ht="12.75">
      <c r="B28" s="696"/>
      <c r="C28" s="696"/>
      <c r="D28" s="696"/>
      <c r="E28" s="696"/>
      <c r="F28" s="696"/>
      <c r="G28" s="697"/>
      <c r="H28" s="697"/>
      <c r="I28" s="703"/>
      <c r="J28" s="703"/>
      <c r="K28" s="697"/>
      <c r="L28" s="697"/>
      <c r="M28" s="703"/>
      <c r="N28" s="703"/>
    </row>
    <row r="29" spans="2:14" ht="12.75">
      <c r="B29" s="696"/>
      <c r="C29" s="696"/>
      <c r="D29" s="696"/>
      <c r="E29" s="696"/>
      <c r="F29" s="696"/>
      <c r="G29" s="697"/>
      <c r="H29" s="697"/>
      <c r="I29" s="703"/>
      <c r="J29" s="703"/>
      <c r="K29" s="697"/>
      <c r="L29" s="697"/>
      <c r="M29" s="703"/>
      <c r="N29" s="703"/>
    </row>
    <row r="30" spans="2:14" ht="12.75">
      <c r="B30" s="696"/>
      <c r="C30" s="696"/>
      <c r="D30" s="696"/>
      <c r="E30" s="696"/>
      <c r="F30" s="696"/>
      <c r="G30" s="697"/>
      <c r="H30" s="697"/>
      <c r="I30" s="703"/>
      <c r="J30" s="703"/>
      <c r="K30" s="697"/>
      <c r="L30" s="697"/>
      <c r="M30" s="703"/>
      <c r="N30" s="703"/>
    </row>
    <row r="31" spans="2:14" ht="12.75">
      <c r="B31" s="696"/>
      <c r="C31" s="696"/>
      <c r="D31" s="696"/>
      <c r="E31" s="696"/>
      <c r="F31" s="696"/>
      <c r="G31" s="697"/>
      <c r="H31" s="697"/>
      <c r="I31" s="703"/>
      <c r="J31" s="703"/>
      <c r="K31" s="697"/>
      <c r="L31" s="697"/>
      <c r="M31" s="703"/>
      <c r="N31" s="703"/>
    </row>
    <row r="32" spans="2:14" ht="12.75">
      <c r="B32" s="696"/>
      <c r="C32" s="696"/>
      <c r="D32" s="696"/>
      <c r="E32" s="696"/>
      <c r="F32" s="696"/>
      <c r="G32" s="697"/>
      <c r="H32" s="697"/>
      <c r="I32" s="703"/>
      <c r="J32" s="703"/>
      <c r="K32" s="697"/>
      <c r="L32" s="697"/>
      <c r="M32" s="703"/>
      <c r="N32" s="703"/>
    </row>
    <row r="33" spans="2:14" ht="12.75">
      <c r="B33" s="696"/>
      <c r="C33" s="696"/>
      <c r="D33" s="696"/>
      <c r="E33" s="696"/>
      <c r="F33" s="696"/>
      <c r="G33" s="697"/>
      <c r="H33" s="697"/>
      <c r="I33" s="703"/>
      <c r="J33" s="703"/>
      <c r="K33" s="697"/>
      <c r="L33" s="697"/>
      <c r="M33" s="703"/>
      <c r="N33" s="703"/>
    </row>
    <row r="34" spans="2:14" ht="12.75">
      <c r="B34" s="696"/>
      <c r="C34" s="696"/>
      <c r="D34" s="696"/>
      <c r="E34" s="696"/>
      <c r="F34" s="696"/>
      <c r="G34" s="697"/>
      <c r="H34" s="697"/>
      <c r="I34" s="703"/>
      <c r="J34" s="703"/>
      <c r="K34" s="697"/>
      <c r="L34" s="697"/>
      <c r="M34" s="703"/>
      <c r="N34" s="703"/>
    </row>
    <row r="35" spans="2:14" ht="12.75">
      <c r="B35" s="696"/>
      <c r="C35" s="696"/>
      <c r="D35" s="696"/>
      <c r="E35" s="696"/>
      <c r="F35" s="696"/>
      <c r="G35" s="697"/>
      <c r="H35" s="697"/>
      <c r="I35" s="703"/>
      <c r="J35" s="703"/>
      <c r="K35" s="697"/>
      <c r="L35" s="697"/>
      <c r="M35" s="703"/>
      <c r="N35" s="703"/>
    </row>
    <row r="36" spans="2:14" ht="12.75">
      <c r="B36" s="696"/>
      <c r="C36" s="696"/>
      <c r="D36" s="696"/>
      <c r="E36" s="696"/>
      <c r="F36" s="696"/>
      <c r="G36" s="697"/>
      <c r="H36" s="697"/>
      <c r="I36" s="703"/>
      <c r="J36" s="703"/>
      <c r="K36" s="697"/>
      <c r="L36" s="697"/>
      <c r="M36" s="703"/>
      <c r="N36" s="703"/>
    </row>
    <row r="37" spans="2:14" ht="12.75">
      <c r="B37" s="688" t="s">
        <v>231</v>
      </c>
      <c r="C37" s="688"/>
      <c r="D37" s="688"/>
      <c r="E37" s="688"/>
      <c r="F37" s="688"/>
      <c r="G37" s="695"/>
      <c r="H37" s="695"/>
      <c r="I37" s="694">
        <f>SUM(I27:J36)</f>
        <v>17</v>
      </c>
      <c r="J37" s="694"/>
      <c r="K37" s="695"/>
      <c r="L37" s="695"/>
      <c r="M37" s="694">
        <f>SUM(M27:N36)</f>
        <v>0</v>
      </c>
      <c r="N37" s="694"/>
    </row>
    <row r="38" spans="2:14" ht="14.25">
      <c r="B38" s="686" t="s">
        <v>280</v>
      </c>
      <c r="C38" s="686"/>
      <c r="D38" s="686"/>
      <c r="E38" s="686"/>
      <c r="F38" s="686"/>
      <c r="G38" s="686"/>
      <c r="H38" s="686"/>
      <c r="I38" s="686"/>
      <c r="J38" s="686"/>
      <c r="K38" s="686"/>
      <c r="L38" s="686"/>
      <c r="M38" s="686"/>
      <c r="N38" s="686"/>
    </row>
    <row r="39" spans="2:14" ht="12.75">
      <c r="B39" s="704" t="s">
        <v>272</v>
      </c>
      <c r="C39" s="704"/>
      <c r="D39" s="704"/>
      <c r="E39" s="704"/>
      <c r="F39" s="704"/>
      <c r="G39" s="701">
        <f>G11</f>
        <v>40451</v>
      </c>
      <c r="H39" s="701"/>
      <c r="I39" s="701"/>
      <c r="J39" s="701"/>
      <c r="K39" s="701" t="str">
        <f>K11</f>
        <v>31.12.2009 г.</v>
      </c>
      <c r="L39" s="701"/>
      <c r="M39" s="701"/>
      <c r="N39" s="701"/>
    </row>
    <row r="40" spans="2:14" ht="12.75">
      <c r="B40" s="704"/>
      <c r="C40" s="704"/>
      <c r="D40" s="704"/>
      <c r="E40" s="704"/>
      <c r="F40" s="704"/>
      <c r="G40" s="699" t="s">
        <v>273</v>
      </c>
      <c r="H40" s="699"/>
      <c r="I40" s="699" t="s">
        <v>274</v>
      </c>
      <c r="J40" s="699"/>
      <c r="K40" s="699" t="s">
        <v>273</v>
      </c>
      <c r="L40" s="699"/>
      <c r="M40" s="699" t="s">
        <v>274</v>
      </c>
      <c r="N40" s="699"/>
    </row>
    <row r="41" spans="2:14" ht="12.75">
      <c r="B41" s="696"/>
      <c r="C41" s="696"/>
      <c r="D41" s="696"/>
      <c r="E41" s="696"/>
      <c r="F41" s="696"/>
      <c r="G41" s="697"/>
      <c r="H41" s="697"/>
      <c r="I41" s="703"/>
      <c r="J41" s="703"/>
      <c r="K41" s="697"/>
      <c r="L41" s="697"/>
      <c r="M41" s="703"/>
      <c r="N41" s="703"/>
    </row>
    <row r="42" spans="2:14" ht="12.75">
      <c r="B42" s="696"/>
      <c r="C42" s="696"/>
      <c r="D42" s="696"/>
      <c r="E42" s="696"/>
      <c r="F42" s="696"/>
      <c r="G42" s="697"/>
      <c r="H42" s="697"/>
      <c r="I42" s="703"/>
      <c r="J42" s="703"/>
      <c r="K42" s="697"/>
      <c r="L42" s="697"/>
      <c r="M42" s="703"/>
      <c r="N42" s="703"/>
    </row>
    <row r="43" spans="2:14" ht="12.75">
      <c r="B43" s="696"/>
      <c r="C43" s="696"/>
      <c r="D43" s="696"/>
      <c r="E43" s="696"/>
      <c r="F43" s="696"/>
      <c r="G43" s="697"/>
      <c r="H43" s="697"/>
      <c r="I43" s="703"/>
      <c r="J43" s="703"/>
      <c r="K43" s="697"/>
      <c r="L43" s="697"/>
      <c r="M43" s="703"/>
      <c r="N43" s="703"/>
    </row>
    <row r="44" spans="2:14" ht="12.75">
      <c r="B44" s="696"/>
      <c r="C44" s="696"/>
      <c r="D44" s="696"/>
      <c r="E44" s="696"/>
      <c r="F44" s="696"/>
      <c r="G44" s="697"/>
      <c r="H44" s="697"/>
      <c r="I44" s="703"/>
      <c r="J44" s="703"/>
      <c r="K44" s="697"/>
      <c r="L44" s="697"/>
      <c r="M44" s="703"/>
      <c r="N44" s="703"/>
    </row>
    <row r="45" spans="2:14" ht="12.75">
      <c r="B45" s="696"/>
      <c r="C45" s="696"/>
      <c r="D45" s="696"/>
      <c r="E45" s="696"/>
      <c r="F45" s="696"/>
      <c r="G45" s="697"/>
      <c r="H45" s="697"/>
      <c r="I45" s="703"/>
      <c r="J45" s="703"/>
      <c r="K45" s="697"/>
      <c r="L45" s="697"/>
      <c r="M45" s="703"/>
      <c r="N45" s="703"/>
    </row>
    <row r="46" spans="2:14" ht="12.75">
      <c r="B46" s="696"/>
      <c r="C46" s="696"/>
      <c r="D46" s="696"/>
      <c r="E46" s="696"/>
      <c r="F46" s="696"/>
      <c r="G46" s="697"/>
      <c r="H46" s="697"/>
      <c r="I46" s="703"/>
      <c r="J46" s="703"/>
      <c r="K46" s="697"/>
      <c r="L46" s="697"/>
      <c r="M46" s="703"/>
      <c r="N46" s="703"/>
    </row>
    <row r="47" spans="2:14" ht="12.75">
      <c r="B47" s="696"/>
      <c r="C47" s="696"/>
      <c r="D47" s="696"/>
      <c r="E47" s="696"/>
      <c r="F47" s="696"/>
      <c r="G47" s="697"/>
      <c r="H47" s="697"/>
      <c r="I47" s="703"/>
      <c r="J47" s="703"/>
      <c r="K47" s="697"/>
      <c r="L47" s="697"/>
      <c r="M47" s="703"/>
      <c r="N47" s="703"/>
    </row>
    <row r="48" spans="2:14" ht="12.75">
      <c r="B48" s="696"/>
      <c r="C48" s="696"/>
      <c r="D48" s="696"/>
      <c r="E48" s="696"/>
      <c r="F48" s="696"/>
      <c r="G48" s="697"/>
      <c r="H48" s="697"/>
      <c r="I48" s="703"/>
      <c r="J48" s="703"/>
      <c r="K48" s="697"/>
      <c r="L48" s="697"/>
      <c r="M48" s="703"/>
      <c r="N48" s="703"/>
    </row>
    <row r="49" spans="2:14" ht="12.75">
      <c r="B49" s="696"/>
      <c r="C49" s="696"/>
      <c r="D49" s="696"/>
      <c r="E49" s="696"/>
      <c r="F49" s="696"/>
      <c r="G49" s="697"/>
      <c r="H49" s="697"/>
      <c r="I49" s="703"/>
      <c r="J49" s="703"/>
      <c r="K49" s="697"/>
      <c r="L49" s="697"/>
      <c r="M49" s="703"/>
      <c r="N49" s="703"/>
    </row>
    <row r="50" spans="2:14" ht="12.75">
      <c r="B50" s="696"/>
      <c r="C50" s="696"/>
      <c r="D50" s="696"/>
      <c r="E50" s="696"/>
      <c r="F50" s="696"/>
      <c r="G50" s="697"/>
      <c r="H50" s="697"/>
      <c r="I50" s="703"/>
      <c r="J50" s="703"/>
      <c r="K50" s="697"/>
      <c r="L50" s="697"/>
      <c r="M50" s="703"/>
      <c r="N50" s="703"/>
    </row>
    <row r="51" spans="2:14" ht="12.75">
      <c r="B51" s="688" t="s">
        <v>231</v>
      </c>
      <c r="C51" s="688"/>
      <c r="D51" s="688"/>
      <c r="E51" s="688"/>
      <c r="F51" s="688"/>
      <c r="G51" s="695"/>
      <c r="H51" s="695"/>
      <c r="I51" s="694">
        <f>SUM(I41:J50)</f>
        <v>0</v>
      </c>
      <c r="J51" s="694"/>
      <c r="K51" s="695"/>
      <c r="L51" s="695"/>
      <c r="M51" s="694">
        <f>SUM(M41:N50)</f>
        <v>0</v>
      </c>
      <c r="N51" s="694"/>
    </row>
    <row r="52" spans="2:14" ht="14.25">
      <c r="B52" s="692" t="s">
        <v>267</v>
      </c>
      <c r="C52" s="692"/>
      <c r="D52" s="692"/>
      <c r="E52" s="692"/>
      <c r="F52" s="692"/>
      <c r="G52" s="692"/>
      <c r="H52" s="692"/>
      <c r="I52" s="692"/>
      <c r="J52" s="692"/>
      <c r="K52" s="692"/>
      <c r="L52" s="692"/>
      <c r="M52" s="692"/>
      <c r="N52" s="692"/>
    </row>
    <row r="53" spans="2:14" ht="12.75">
      <c r="B53" s="700" t="s">
        <v>281</v>
      </c>
      <c r="C53" s="700"/>
      <c r="D53" s="700" t="s">
        <v>282</v>
      </c>
      <c r="E53" s="700"/>
      <c r="F53" s="700"/>
      <c r="G53" s="701">
        <f>G11</f>
        <v>40451</v>
      </c>
      <c r="H53" s="701"/>
      <c r="I53" s="701"/>
      <c r="J53" s="701"/>
      <c r="K53" s="701" t="str">
        <f>K11</f>
        <v>31.12.2009 г.</v>
      </c>
      <c r="L53" s="701"/>
      <c r="M53" s="701"/>
      <c r="N53" s="701"/>
    </row>
    <row r="54" spans="2:14" ht="12.75">
      <c r="B54" s="700"/>
      <c r="C54" s="700"/>
      <c r="D54" s="700"/>
      <c r="E54" s="700"/>
      <c r="F54" s="700"/>
      <c r="G54" s="699" t="s">
        <v>273</v>
      </c>
      <c r="H54" s="699"/>
      <c r="I54" s="699" t="s">
        <v>274</v>
      </c>
      <c r="J54" s="699"/>
      <c r="K54" s="699" t="s">
        <v>273</v>
      </c>
      <c r="L54" s="699"/>
      <c r="M54" s="699" t="s">
        <v>274</v>
      </c>
      <c r="N54" s="699"/>
    </row>
    <row r="55" spans="2:14" ht="12.75">
      <c r="B55" s="696"/>
      <c r="C55" s="696"/>
      <c r="D55" s="696"/>
      <c r="E55" s="696"/>
      <c r="F55" s="696"/>
      <c r="G55" s="697"/>
      <c r="H55" s="697"/>
      <c r="I55" s="698"/>
      <c r="J55" s="698"/>
      <c r="K55" s="697"/>
      <c r="L55" s="697"/>
      <c r="M55" s="698"/>
      <c r="N55" s="698"/>
    </row>
    <row r="56" spans="2:14" ht="12.75">
      <c r="B56" s="696"/>
      <c r="C56" s="696"/>
      <c r="D56" s="696"/>
      <c r="E56" s="696"/>
      <c r="F56" s="696"/>
      <c r="G56" s="697"/>
      <c r="H56" s="697"/>
      <c r="I56" s="698"/>
      <c r="J56" s="698"/>
      <c r="K56" s="697"/>
      <c r="L56" s="697"/>
      <c r="M56" s="698"/>
      <c r="N56" s="698"/>
    </row>
    <row r="57" spans="2:14" ht="12.75">
      <c r="B57" s="696"/>
      <c r="C57" s="696"/>
      <c r="D57" s="696"/>
      <c r="E57" s="696"/>
      <c r="F57" s="696"/>
      <c r="G57" s="697"/>
      <c r="H57" s="697"/>
      <c r="I57" s="698"/>
      <c r="J57" s="698"/>
      <c r="K57" s="697"/>
      <c r="L57" s="697"/>
      <c r="M57" s="698"/>
      <c r="N57" s="698"/>
    </row>
    <row r="58" spans="2:14" ht="12.75">
      <c r="B58" s="696"/>
      <c r="C58" s="696"/>
      <c r="D58" s="696"/>
      <c r="E58" s="696"/>
      <c r="F58" s="696"/>
      <c r="G58" s="697"/>
      <c r="H58" s="697"/>
      <c r="I58" s="698"/>
      <c r="J58" s="698"/>
      <c r="K58" s="697"/>
      <c r="L58" s="697"/>
      <c r="M58" s="698"/>
      <c r="N58" s="698"/>
    </row>
    <row r="59" spans="2:14" ht="12.75">
      <c r="B59" s="696"/>
      <c r="C59" s="696"/>
      <c r="D59" s="696"/>
      <c r="E59" s="696"/>
      <c r="F59" s="696"/>
      <c r="G59" s="697"/>
      <c r="H59" s="697"/>
      <c r="I59" s="698"/>
      <c r="J59" s="698"/>
      <c r="K59" s="697"/>
      <c r="L59" s="697"/>
      <c r="M59" s="698"/>
      <c r="N59" s="698"/>
    </row>
    <row r="60" spans="2:14" ht="12.75">
      <c r="B60" s="696"/>
      <c r="C60" s="696"/>
      <c r="D60" s="696"/>
      <c r="E60" s="696"/>
      <c r="F60" s="696"/>
      <c r="G60" s="697"/>
      <c r="H60" s="697"/>
      <c r="I60" s="698"/>
      <c r="J60" s="698"/>
      <c r="K60" s="697"/>
      <c r="L60" s="697"/>
      <c r="M60" s="698"/>
      <c r="N60" s="698"/>
    </row>
    <row r="61" spans="2:20" ht="12.75">
      <c r="B61" s="696"/>
      <c r="C61" s="696"/>
      <c r="D61" s="696"/>
      <c r="E61" s="696"/>
      <c r="F61" s="696"/>
      <c r="G61" s="697"/>
      <c r="H61" s="697"/>
      <c r="I61" s="698"/>
      <c r="J61" s="698"/>
      <c r="K61" s="697"/>
      <c r="L61" s="697"/>
      <c r="M61" s="698"/>
      <c r="N61" s="698"/>
      <c r="P61" s="681">
        <f>IF(AND(S62="",S64=""),"","Разлика между СПРАВКАТА и ПРИЛОЖЕНИЕ №1!")</f>
      </c>
      <c r="Q61" s="681"/>
      <c r="R61" s="681"/>
      <c r="S61" s="681"/>
      <c r="T61" s="681"/>
    </row>
    <row r="62" spans="2:20" ht="12.75">
      <c r="B62" s="696"/>
      <c r="C62" s="696"/>
      <c r="D62" s="696"/>
      <c r="E62" s="696"/>
      <c r="F62" s="696"/>
      <c r="G62" s="697"/>
      <c r="H62" s="697"/>
      <c r="I62" s="698"/>
      <c r="J62" s="698"/>
      <c r="K62" s="697"/>
      <c r="L62" s="697"/>
      <c r="M62" s="698"/>
      <c r="N62" s="698"/>
      <c r="P62" s="680">
        <f>IF(S62="","","Разлика текущ период:")</f>
      </c>
      <c r="Q62" s="680"/>
      <c r="R62" s="680"/>
      <c r="S62" s="405">
        <f>IF(I65=K5,"",I65-K5)</f>
      </c>
      <c r="T62" s="406"/>
    </row>
    <row r="63" spans="2:20" ht="12.75">
      <c r="B63" s="696"/>
      <c r="C63" s="696"/>
      <c r="D63" s="696"/>
      <c r="E63" s="696"/>
      <c r="F63" s="696"/>
      <c r="G63" s="697"/>
      <c r="H63" s="697"/>
      <c r="I63" s="698"/>
      <c r="J63" s="698"/>
      <c r="K63" s="697"/>
      <c r="L63" s="697"/>
      <c r="M63" s="698"/>
      <c r="N63" s="698"/>
      <c r="P63" s="678">
        <f>IF(S62="","","Сума по приложение №1:")</f>
      </c>
      <c r="Q63" s="678"/>
      <c r="R63" s="678"/>
      <c r="S63" s="407">
        <f>IF(I65=K5,"",K5)</f>
      </c>
      <c r="T63" s="406"/>
    </row>
    <row r="64" spans="2:20" ht="12.75">
      <c r="B64" s="696"/>
      <c r="C64" s="696"/>
      <c r="D64" s="696"/>
      <c r="E64" s="696"/>
      <c r="F64" s="696"/>
      <c r="G64" s="697"/>
      <c r="H64" s="697"/>
      <c r="I64" s="698"/>
      <c r="J64" s="698"/>
      <c r="K64" s="697"/>
      <c r="L64" s="697"/>
      <c r="M64" s="698"/>
      <c r="N64" s="698"/>
      <c r="P64" s="680">
        <f>IF(S64="","","Разлика предходен период:")</f>
      </c>
      <c r="Q64" s="680"/>
      <c r="R64" s="680"/>
      <c r="S64" s="405">
        <f>IF(M65=M5,"",M65-M5)</f>
      </c>
      <c r="T64" s="406"/>
    </row>
    <row r="65" spans="2:20" ht="12.75">
      <c r="B65" s="688" t="s">
        <v>231</v>
      </c>
      <c r="C65" s="688"/>
      <c r="D65" s="688"/>
      <c r="E65" s="688"/>
      <c r="F65" s="688"/>
      <c r="G65" s="695"/>
      <c r="H65" s="695"/>
      <c r="I65" s="694">
        <f>SUM(I55:J64)</f>
        <v>0</v>
      </c>
      <c r="J65" s="694"/>
      <c r="K65" s="695"/>
      <c r="L65" s="695"/>
      <c r="M65" s="694">
        <f>SUM(M55:N64)</f>
        <v>0</v>
      </c>
      <c r="N65" s="694"/>
      <c r="P65" s="678">
        <f>IF(S64="","","Сума по приложение №1:")</f>
      </c>
      <c r="Q65" s="678"/>
      <c r="R65" s="678"/>
      <c r="S65" s="407">
        <f>IF(M65=M5,"",M5)</f>
      </c>
      <c r="T65" s="406"/>
    </row>
    <row r="66" spans="2:14" ht="14.25">
      <c r="B66" s="692" t="s">
        <v>268</v>
      </c>
      <c r="C66" s="692"/>
      <c r="D66" s="692"/>
      <c r="E66" s="692"/>
      <c r="F66" s="692"/>
      <c r="G66" s="692"/>
      <c r="H66" s="692"/>
      <c r="I66" s="692"/>
      <c r="J66" s="692"/>
      <c r="K66" s="692"/>
      <c r="L66" s="692"/>
      <c r="M66" s="692"/>
      <c r="N66" s="692"/>
    </row>
    <row r="67" spans="2:14" ht="12.75">
      <c r="B67" s="700" t="s">
        <v>281</v>
      </c>
      <c r="C67" s="700"/>
      <c r="D67" s="700" t="s">
        <v>282</v>
      </c>
      <c r="E67" s="700"/>
      <c r="F67" s="700"/>
      <c r="G67" s="701">
        <f>G25</f>
        <v>40451</v>
      </c>
      <c r="H67" s="701"/>
      <c r="I67" s="701"/>
      <c r="J67" s="701"/>
      <c r="K67" s="701" t="str">
        <f>K25</f>
        <v>31.12.2009 г.</v>
      </c>
      <c r="L67" s="701"/>
      <c r="M67" s="701"/>
      <c r="N67" s="701"/>
    </row>
    <row r="68" spans="2:14" ht="12.75">
      <c r="B68" s="700"/>
      <c r="C68" s="700"/>
      <c r="D68" s="700"/>
      <c r="E68" s="700"/>
      <c r="F68" s="700"/>
      <c r="G68" s="699" t="s">
        <v>273</v>
      </c>
      <c r="H68" s="699"/>
      <c r="I68" s="699" t="s">
        <v>274</v>
      </c>
      <c r="J68" s="699"/>
      <c r="K68" s="699" t="s">
        <v>273</v>
      </c>
      <c r="L68" s="699"/>
      <c r="M68" s="699" t="s">
        <v>274</v>
      </c>
      <c r="N68" s="699"/>
    </row>
    <row r="69" spans="2:14" ht="12.75">
      <c r="B69" s="696"/>
      <c r="C69" s="696"/>
      <c r="D69" s="696"/>
      <c r="E69" s="696"/>
      <c r="F69" s="696"/>
      <c r="G69" s="697"/>
      <c r="H69" s="697"/>
      <c r="I69" s="698"/>
      <c r="J69" s="698"/>
      <c r="K69" s="697"/>
      <c r="L69" s="697"/>
      <c r="M69" s="698"/>
      <c r="N69" s="698"/>
    </row>
    <row r="70" spans="2:14" ht="12.75">
      <c r="B70" s="696"/>
      <c r="C70" s="696"/>
      <c r="D70" s="696"/>
      <c r="E70" s="696"/>
      <c r="F70" s="696"/>
      <c r="G70" s="697"/>
      <c r="H70" s="697"/>
      <c r="I70" s="698"/>
      <c r="J70" s="698"/>
      <c r="K70" s="697"/>
      <c r="L70" s="697"/>
      <c r="M70" s="698"/>
      <c r="N70" s="698"/>
    </row>
    <row r="71" spans="2:14" ht="12.75">
      <c r="B71" s="696"/>
      <c r="C71" s="696"/>
      <c r="D71" s="696"/>
      <c r="E71" s="696"/>
      <c r="F71" s="696"/>
      <c r="G71" s="697"/>
      <c r="H71" s="697"/>
      <c r="I71" s="698"/>
      <c r="J71" s="698"/>
      <c r="K71" s="697"/>
      <c r="L71" s="697"/>
      <c r="M71" s="698"/>
      <c r="N71" s="698"/>
    </row>
    <row r="72" spans="2:14" ht="12.75">
      <c r="B72" s="696"/>
      <c r="C72" s="696"/>
      <c r="D72" s="696"/>
      <c r="E72" s="696"/>
      <c r="F72" s="696"/>
      <c r="G72" s="697"/>
      <c r="H72" s="697"/>
      <c r="I72" s="698"/>
      <c r="J72" s="698"/>
      <c r="K72" s="697"/>
      <c r="L72" s="697"/>
      <c r="M72" s="698"/>
      <c r="N72" s="698"/>
    </row>
    <row r="73" spans="2:14" ht="12.75">
      <c r="B73" s="696"/>
      <c r="C73" s="696"/>
      <c r="D73" s="696"/>
      <c r="E73" s="696"/>
      <c r="F73" s="696"/>
      <c r="G73" s="697"/>
      <c r="H73" s="697"/>
      <c r="I73" s="698"/>
      <c r="J73" s="698"/>
      <c r="K73" s="697"/>
      <c r="L73" s="697"/>
      <c r="M73" s="698"/>
      <c r="N73" s="698"/>
    </row>
    <row r="74" spans="2:14" ht="12.75">
      <c r="B74" s="696"/>
      <c r="C74" s="696"/>
      <c r="D74" s="696"/>
      <c r="E74" s="696"/>
      <c r="F74" s="696"/>
      <c r="G74" s="697"/>
      <c r="H74" s="697"/>
      <c r="I74" s="698"/>
      <c r="J74" s="698"/>
      <c r="K74" s="697"/>
      <c r="L74" s="697"/>
      <c r="M74" s="698"/>
      <c r="N74" s="698"/>
    </row>
    <row r="75" spans="2:20" ht="12.75">
      <c r="B75" s="696"/>
      <c r="C75" s="696"/>
      <c r="D75" s="696"/>
      <c r="E75" s="696"/>
      <c r="F75" s="696"/>
      <c r="G75" s="697"/>
      <c r="H75" s="697"/>
      <c r="I75" s="698"/>
      <c r="J75" s="698"/>
      <c r="K75" s="697"/>
      <c r="L75" s="697"/>
      <c r="M75" s="698"/>
      <c r="N75" s="698"/>
      <c r="P75" s="681">
        <f>IF(AND(S76="",S78=""),"","Разлика между СПРАВКАТА и ПРИЛОЖЕНИЕ №1!")</f>
      </c>
      <c r="Q75" s="681"/>
      <c r="R75" s="681"/>
      <c r="S75" s="681"/>
      <c r="T75" s="681"/>
    </row>
    <row r="76" spans="2:20" ht="12.75">
      <c r="B76" s="696"/>
      <c r="C76" s="696"/>
      <c r="D76" s="696"/>
      <c r="E76" s="696"/>
      <c r="F76" s="696"/>
      <c r="G76" s="697"/>
      <c r="H76" s="697"/>
      <c r="I76" s="698"/>
      <c r="J76" s="698"/>
      <c r="K76" s="697"/>
      <c r="L76" s="697"/>
      <c r="M76" s="698"/>
      <c r="N76" s="698"/>
      <c r="P76" s="680">
        <f>IF(S76="","","Разлика текущ период:")</f>
      </c>
      <c r="Q76" s="680"/>
      <c r="R76" s="680"/>
      <c r="S76" s="405">
        <f>IF(I79=K6,"",I79-K6)</f>
      </c>
      <c r="T76" s="406"/>
    </row>
    <row r="77" spans="2:20" ht="12.75">
      <c r="B77" s="696"/>
      <c r="C77" s="696"/>
      <c r="D77" s="696"/>
      <c r="E77" s="696"/>
      <c r="F77" s="696"/>
      <c r="G77" s="697"/>
      <c r="H77" s="697"/>
      <c r="I77" s="698"/>
      <c r="J77" s="698"/>
      <c r="K77" s="697"/>
      <c r="L77" s="697"/>
      <c r="M77" s="698"/>
      <c r="N77" s="698"/>
      <c r="P77" s="678">
        <f>IF(S76="","","Сума по приложение №1:")</f>
      </c>
      <c r="Q77" s="678"/>
      <c r="R77" s="678"/>
      <c r="S77" s="407">
        <f>IF(I79=K6,"",K6)</f>
      </c>
      <c r="T77" s="406"/>
    </row>
    <row r="78" spans="2:20" ht="12.75">
      <c r="B78" s="696"/>
      <c r="C78" s="696"/>
      <c r="D78" s="696"/>
      <c r="E78" s="696"/>
      <c r="F78" s="696"/>
      <c r="G78" s="697"/>
      <c r="H78" s="697"/>
      <c r="I78" s="698"/>
      <c r="J78" s="698"/>
      <c r="K78" s="697"/>
      <c r="L78" s="697"/>
      <c r="M78" s="698"/>
      <c r="N78" s="698"/>
      <c r="P78" s="680">
        <f>IF(S78="","","Разлика предходен период:")</f>
      </c>
      <c r="Q78" s="680"/>
      <c r="R78" s="680"/>
      <c r="S78" s="405">
        <f>IF(M79=M6,"",M79-M6)</f>
      </c>
      <c r="T78" s="406"/>
    </row>
    <row r="79" spans="2:20" ht="12.75">
      <c r="B79" s="688" t="s">
        <v>231</v>
      </c>
      <c r="C79" s="688"/>
      <c r="D79" s="688"/>
      <c r="E79" s="688"/>
      <c r="F79" s="688"/>
      <c r="G79" s="695"/>
      <c r="H79" s="695"/>
      <c r="I79" s="694">
        <f>SUM(I69:J78)</f>
        <v>0</v>
      </c>
      <c r="J79" s="694"/>
      <c r="K79" s="695"/>
      <c r="L79" s="695"/>
      <c r="M79" s="694">
        <f>SUM(M69:N78)</f>
        <v>0</v>
      </c>
      <c r="N79" s="694"/>
      <c r="P79" s="678">
        <f>IF(S78="","","Сума по приложение №1:")</f>
      </c>
      <c r="Q79" s="678"/>
      <c r="R79" s="678"/>
      <c r="S79" s="407">
        <f>IF(M79=M6,"",M6)</f>
      </c>
      <c r="T79" s="406"/>
    </row>
    <row r="80" spans="2:14" ht="14.25">
      <c r="B80" s="692" t="s">
        <v>283</v>
      </c>
      <c r="C80" s="692"/>
      <c r="D80" s="692"/>
      <c r="E80" s="692"/>
      <c r="F80" s="692"/>
      <c r="G80" s="692"/>
      <c r="H80" s="692"/>
      <c r="I80" s="692"/>
      <c r="J80" s="692"/>
      <c r="K80" s="692"/>
      <c r="L80" s="692"/>
      <c r="M80" s="692"/>
      <c r="N80" s="692"/>
    </row>
    <row r="81" spans="2:14" ht="12.75">
      <c r="B81" s="687" t="s">
        <v>281</v>
      </c>
      <c r="C81" s="687"/>
      <c r="D81" s="687"/>
      <c r="E81" s="687"/>
      <c r="F81" s="687"/>
      <c r="G81" s="687"/>
      <c r="H81" s="687"/>
      <c r="I81" s="687"/>
      <c r="J81" s="687"/>
      <c r="K81" s="693">
        <f>K2</f>
        <v>40451</v>
      </c>
      <c r="L81" s="693"/>
      <c r="M81" s="687" t="str">
        <f>M2</f>
        <v>31.12.2009 г.</v>
      </c>
      <c r="N81" s="687"/>
    </row>
    <row r="82" spans="2:14" ht="12.75">
      <c r="B82" s="690" t="s">
        <v>284</v>
      </c>
      <c r="C82" s="690"/>
      <c r="D82" s="690"/>
      <c r="E82" s="690"/>
      <c r="F82" s="690"/>
      <c r="G82" s="690"/>
      <c r="H82" s="690"/>
      <c r="I82" s="690"/>
      <c r="J82" s="690"/>
      <c r="K82" s="691">
        <f>SUM(K83:L84)</f>
        <v>0</v>
      </c>
      <c r="L82" s="691"/>
      <c r="M82" s="691">
        <f>SUM(M83:N84)</f>
        <v>0</v>
      </c>
      <c r="N82" s="691"/>
    </row>
    <row r="83" spans="2:14" ht="12.75">
      <c r="B83" s="689" t="s">
        <v>285</v>
      </c>
      <c r="C83" s="689"/>
      <c r="D83" s="689"/>
      <c r="E83" s="689"/>
      <c r="F83" s="689"/>
      <c r="G83" s="689"/>
      <c r="H83" s="689"/>
      <c r="I83" s="689"/>
      <c r="J83" s="689"/>
      <c r="K83" s="679"/>
      <c r="L83" s="679"/>
      <c r="M83" s="679"/>
      <c r="N83" s="679"/>
    </row>
    <row r="84" spans="2:20" ht="12.75">
      <c r="B84" s="689" t="s">
        <v>286</v>
      </c>
      <c r="C84" s="689"/>
      <c r="D84" s="689"/>
      <c r="E84" s="689"/>
      <c r="F84" s="689"/>
      <c r="G84" s="689"/>
      <c r="H84" s="689"/>
      <c r="I84" s="689"/>
      <c r="J84" s="689"/>
      <c r="K84" s="679"/>
      <c r="L84" s="679"/>
      <c r="M84" s="679"/>
      <c r="N84" s="679"/>
      <c r="P84" s="681">
        <f>IF(AND(S85="",S87=""),"","Разлика между СПРАВКАТА и ПРИЛОЖЕНИЕ №1!")</f>
      </c>
      <c r="Q84" s="681"/>
      <c r="R84" s="681"/>
      <c r="S84" s="681"/>
      <c r="T84" s="681"/>
    </row>
    <row r="85" spans="2:20" ht="12.75">
      <c r="B85" s="690" t="s">
        <v>287</v>
      </c>
      <c r="C85" s="690"/>
      <c r="D85" s="690"/>
      <c r="E85" s="690"/>
      <c r="F85" s="690"/>
      <c r="G85" s="690"/>
      <c r="H85" s="690"/>
      <c r="I85" s="690"/>
      <c r="J85" s="690"/>
      <c r="K85" s="691">
        <f>SUM(K86:L87)</f>
        <v>0</v>
      </c>
      <c r="L85" s="691"/>
      <c r="M85" s="691">
        <f>SUM(M86:N87)</f>
        <v>0</v>
      </c>
      <c r="N85" s="691"/>
      <c r="P85" s="680">
        <f>IF(S85="","","Разлика текущ период:")</f>
      </c>
      <c r="Q85" s="680"/>
      <c r="R85" s="680"/>
      <c r="S85" s="405">
        <f>IF(K88=K7,"",K88-K7)</f>
      </c>
      <c r="T85" s="406"/>
    </row>
    <row r="86" spans="2:20" ht="12.75">
      <c r="B86" s="689" t="s">
        <v>269</v>
      </c>
      <c r="C86" s="689"/>
      <c r="D86" s="689"/>
      <c r="E86" s="689"/>
      <c r="F86" s="689"/>
      <c r="G86" s="689"/>
      <c r="H86" s="689"/>
      <c r="I86" s="689"/>
      <c r="J86" s="689"/>
      <c r="K86" s="679"/>
      <c r="L86" s="679"/>
      <c r="M86" s="679"/>
      <c r="N86" s="679"/>
      <c r="P86" s="678">
        <f>IF(S85="","","Сума по приложение №1:")</f>
      </c>
      <c r="Q86" s="678"/>
      <c r="R86" s="678"/>
      <c r="S86" s="407">
        <f>IF(K88=K7,"",K7)</f>
      </c>
      <c r="T86" s="406"/>
    </row>
    <row r="87" spans="2:20" ht="12.75">
      <c r="B87" s="689" t="s">
        <v>288</v>
      </c>
      <c r="C87" s="689"/>
      <c r="D87" s="689"/>
      <c r="E87" s="689"/>
      <c r="F87" s="689"/>
      <c r="G87" s="689"/>
      <c r="H87" s="689"/>
      <c r="I87" s="689"/>
      <c r="J87" s="689"/>
      <c r="K87" s="679"/>
      <c r="L87" s="679"/>
      <c r="M87" s="679"/>
      <c r="N87" s="679"/>
      <c r="P87" s="680">
        <f>IF(S87="","","Разлика предходен период:")</f>
      </c>
      <c r="Q87" s="680"/>
      <c r="R87" s="680"/>
      <c r="S87" s="405">
        <f>IF(M88=M7,"",M88-M7)</f>
      </c>
      <c r="T87" s="406"/>
    </row>
    <row r="88" spans="2:20" ht="12.75">
      <c r="B88" s="688" t="s">
        <v>231</v>
      </c>
      <c r="C88" s="688"/>
      <c r="D88" s="688"/>
      <c r="E88" s="688"/>
      <c r="F88" s="688"/>
      <c r="G88" s="688"/>
      <c r="H88" s="688"/>
      <c r="I88" s="688"/>
      <c r="J88" s="688"/>
      <c r="K88" s="677">
        <f>K82+K85</f>
        <v>0</v>
      </c>
      <c r="L88" s="677"/>
      <c r="M88" s="677">
        <f>M82+M85</f>
        <v>0</v>
      </c>
      <c r="N88" s="677"/>
      <c r="P88" s="678">
        <f>IF(S87="","","Сума по приложение №1:")</f>
      </c>
      <c r="Q88" s="678"/>
      <c r="R88" s="678"/>
      <c r="S88" s="407">
        <f>IF(M88=M7,"",M7)</f>
      </c>
      <c r="T88" s="406"/>
    </row>
    <row r="89" spans="2:14" ht="14.25">
      <c r="B89" s="692" t="s">
        <v>289</v>
      </c>
      <c r="C89" s="692"/>
      <c r="D89" s="692"/>
      <c r="E89" s="692"/>
      <c r="F89" s="692"/>
      <c r="G89" s="692"/>
      <c r="H89" s="692"/>
      <c r="I89" s="692"/>
      <c r="J89" s="692"/>
      <c r="K89" s="692"/>
      <c r="L89" s="692"/>
      <c r="M89" s="692"/>
      <c r="N89" s="692"/>
    </row>
    <row r="90" spans="2:14" ht="12.75">
      <c r="B90" s="687" t="s">
        <v>281</v>
      </c>
      <c r="C90" s="687"/>
      <c r="D90" s="687"/>
      <c r="E90" s="687"/>
      <c r="F90" s="687"/>
      <c r="G90" s="687"/>
      <c r="H90" s="687"/>
      <c r="I90" s="687"/>
      <c r="J90" s="687"/>
      <c r="K90" s="693">
        <f>K2</f>
        <v>40451</v>
      </c>
      <c r="L90" s="693"/>
      <c r="M90" s="693" t="str">
        <f>M2</f>
        <v>31.12.2009 г.</v>
      </c>
      <c r="N90" s="693"/>
    </row>
    <row r="91" spans="2:14" ht="12.75">
      <c r="B91" s="690" t="s">
        <v>290</v>
      </c>
      <c r="C91" s="690"/>
      <c r="D91" s="690"/>
      <c r="E91" s="690"/>
      <c r="F91" s="690"/>
      <c r="G91" s="690"/>
      <c r="H91" s="690"/>
      <c r="I91" s="690"/>
      <c r="J91" s="690"/>
      <c r="K91" s="691">
        <f>SUM(K92:L93)</f>
        <v>0</v>
      </c>
      <c r="L91" s="691"/>
      <c r="M91" s="691">
        <f>SUM(M92:N93)</f>
        <v>0</v>
      </c>
      <c r="N91" s="691"/>
    </row>
    <row r="92" spans="2:14" ht="12.75">
      <c r="B92" s="689" t="s">
        <v>291</v>
      </c>
      <c r="C92" s="689"/>
      <c r="D92" s="689"/>
      <c r="E92" s="689"/>
      <c r="F92" s="689"/>
      <c r="G92" s="689"/>
      <c r="H92" s="689"/>
      <c r="I92" s="689"/>
      <c r="J92" s="689"/>
      <c r="K92" s="679"/>
      <c r="L92" s="679"/>
      <c r="M92" s="679"/>
      <c r="N92" s="679"/>
    </row>
    <row r="93" spans="2:20" ht="12.75">
      <c r="B93" s="689" t="s">
        <v>292</v>
      </c>
      <c r="C93" s="689"/>
      <c r="D93" s="689"/>
      <c r="E93" s="689"/>
      <c r="F93" s="689"/>
      <c r="G93" s="689"/>
      <c r="H93" s="689"/>
      <c r="I93" s="689"/>
      <c r="J93" s="689"/>
      <c r="K93" s="679"/>
      <c r="L93" s="679"/>
      <c r="M93" s="679"/>
      <c r="N93" s="679"/>
      <c r="P93" s="681">
        <f>IF(AND(S94="",S96=""),"","Разлика между СПРАВКАТА и ПРИЛОЖЕНИЕ №1!")</f>
      </c>
      <c r="Q93" s="681"/>
      <c r="R93" s="681"/>
      <c r="S93" s="681"/>
      <c r="T93" s="681"/>
    </row>
    <row r="94" spans="2:20" ht="12.75">
      <c r="B94" s="690" t="s">
        <v>293</v>
      </c>
      <c r="C94" s="690"/>
      <c r="D94" s="690"/>
      <c r="E94" s="690"/>
      <c r="F94" s="690"/>
      <c r="G94" s="690"/>
      <c r="H94" s="690"/>
      <c r="I94" s="690"/>
      <c r="J94" s="690"/>
      <c r="K94" s="691">
        <f>SUM(K95:L96)</f>
        <v>0</v>
      </c>
      <c r="L94" s="691"/>
      <c r="M94" s="691">
        <f>SUM(M95:N96)</f>
        <v>0</v>
      </c>
      <c r="N94" s="691"/>
      <c r="P94" s="680">
        <f>IF(S94="","","Разлика текущ период:")</f>
      </c>
      <c r="Q94" s="680"/>
      <c r="R94" s="680"/>
      <c r="S94" s="405">
        <f>IF(K97=K8,"",K97-K8)</f>
      </c>
      <c r="T94" s="406"/>
    </row>
    <row r="95" spans="2:20" ht="12.75">
      <c r="B95" s="689" t="s">
        <v>270</v>
      </c>
      <c r="C95" s="689"/>
      <c r="D95" s="689"/>
      <c r="E95" s="689"/>
      <c r="F95" s="689"/>
      <c r="G95" s="689"/>
      <c r="H95" s="689"/>
      <c r="I95" s="689"/>
      <c r="J95" s="689"/>
      <c r="K95" s="679"/>
      <c r="L95" s="679"/>
      <c r="M95" s="679"/>
      <c r="N95" s="679"/>
      <c r="P95" s="678">
        <f>IF(S94="","","Сума по приложение №1:")</f>
      </c>
      <c r="Q95" s="678"/>
      <c r="R95" s="678"/>
      <c r="S95" s="407">
        <f>IF(K97=K8,"",K8)</f>
      </c>
      <c r="T95" s="406"/>
    </row>
    <row r="96" spans="2:20" ht="12.75">
      <c r="B96" s="689" t="s">
        <v>294</v>
      </c>
      <c r="C96" s="689"/>
      <c r="D96" s="689"/>
      <c r="E96" s="689"/>
      <c r="F96" s="689"/>
      <c r="G96" s="689"/>
      <c r="H96" s="689"/>
      <c r="I96" s="689"/>
      <c r="J96" s="689"/>
      <c r="K96" s="679"/>
      <c r="L96" s="679"/>
      <c r="M96" s="679"/>
      <c r="N96" s="679"/>
      <c r="P96" s="680">
        <f>IF(S96="","","Разлика предходен период:")</f>
      </c>
      <c r="Q96" s="680"/>
      <c r="R96" s="680"/>
      <c r="S96" s="405">
        <f>IF(M97=M8,"",M97-M8)</f>
      </c>
      <c r="T96" s="406"/>
    </row>
    <row r="97" spans="2:20" ht="12.75">
      <c r="B97" s="688" t="s">
        <v>231</v>
      </c>
      <c r="C97" s="688"/>
      <c r="D97" s="688"/>
      <c r="E97" s="688"/>
      <c r="F97" s="688"/>
      <c r="G97" s="688"/>
      <c r="H97" s="688"/>
      <c r="I97" s="688"/>
      <c r="J97" s="688"/>
      <c r="K97" s="677">
        <f>K91+K94</f>
        <v>0</v>
      </c>
      <c r="L97" s="677"/>
      <c r="M97" s="677">
        <f>M91+M94</f>
        <v>0</v>
      </c>
      <c r="N97" s="677"/>
      <c r="P97" s="678">
        <f>IF(S96="","","Сума по приложение №1:")</f>
      </c>
      <c r="Q97" s="678"/>
      <c r="R97" s="678"/>
      <c r="S97" s="407">
        <f>IF(M97=M8,"",M8)</f>
      </c>
      <c r="T97" s="406"/>
    </row>
    <row r="98" spans="2:14" ht="12.75">
      <c r="B98" s="412"/>
      <c r="C98" s="412"/>
      <c r="D98" s="412"/>
      <c r="E98" s="412"/>
      <c r="F98" s="412"/>
      <c r="G98" s="412"/>
      <c r="H98" s="412"/>
      <c r="I98" s="412"/>
      <c r="J98" s="412"/>
      <c r="K98" s="412"/>
      <c r="L98" s="412"/>
      <c r="M98" s="412"/>
      <c r="N98" s="412"/>
    </row>
    <row r="100" spans="2:14" ht="14.25">
      <c r="B100" s="686" t="s">
        <v>295</v>
      </c>
      <c r="C100" s="686"/>
      <c r="D100" s="686"/>
      <c r="E100" s="686"/>
      <c r="F100" s="686"/>
      <c r="G100" s="686"/>
      <c r="H100" s="686"/>
      <c r="I100" s="686"/>
      <c r="J100" s="686"/>
      <c r="K100" s="686"/>
      <c r="L100" s="686"/>
      <c r="M100" s="686"/>
      <c r="N100" s="686"/>
    </row>
    <row r="101" spans="2:14" ht="12.75">
      <c r="B101" s="684" t="s">
        <v>296</v>
      </c>
      <c r="C101" s="684"/>
      <c r="D101" s="684"/>
      <c r="E101" s="684"/>
      <c r="F101" s="684"/>
      <c r="G101" s="684"/>
      <c r="H101" s="684"/>
      <c r="I101" s="684"/>
      <c r="J101" s="684"/>
      <c r="K101" s="702">
        <f>K2</f>
        <v>40451</v>
      </c>
      <c r="L101" s="702"/>
      <c r="M101" s="702" t="str">
        <f>M2</f>
        <v>31.12.2009 г.</v>
      </c>
      <c r="N101" s="702"/>
    </row>
    <row r="102" spans="2:14" ht="12.75">
      <c r="B102" s="684"/>
      <c r="C102" s="684"/>
      <c r="D102" s="684"/>
      <c r="E102" s="684"/>
      <c r="F102" s="684"/>
      <c r="G102" s="684"/>
      <c r="H102" s="684"/>
      <c r="I102" s="684"/>
      <c r="J102" s="684"/>
      <c r="K102" s="702"/>
      <c r="L102" s="702"/>
      <c r="M102" s="702"/>
      <c r="N102" s="702"/>
    </row>
    <row r="103" spans="2:20" ht="12.75">
      <c r="B103" s="689" t="s">
        <v>267</v>
      </c>
      <c r="C103" s="689"/>
      <c r="D103" s="689"/>
      <c r="E103" s="689"/>
      <c r="F103" s="689"/>
      <c r="G103" s="689"/>
      <c r="H103" s="689"/>
      <c r="I103" s="689"/>
      <c r="J103" s="689"/>
      <c r="K103" s="679"/>
      <c r="L103" s="679"/>
      <c r="M103" s="679"/>
      <c r="N103" s="679"/>
      <c r="P103" s="681">
        <f>IF(AND(S104="",S106=""),"","Разлика между БАЛАНСА и ПРИЛОЖЕНИЕТО!")</f>
      </c>
      <c r="Q103" s="681"/>
      <c r="R103" s="681"/>
      <c r="S103" s="681"/>
      <c r="T103" s="681"/>
    </row>
    <row r="104" spans="2:20" ht="12.75">
      <c r="B104" s="689" t="s">
        <v>297</v>
      </c>
      <c r="C104" s="689"/>
      <c r="D104" s="689"/>
      <c r="E104" s="689"/>
      <c r="F104" s="689"/>
      <c r="G104" s="689"/>
      <c r="H104" s="689"/>
      <c r="I104" s="689"/>
      <c r="J104" s="689"/>
      <c r="K104" s="679"/>
      <c r="L104" s="679"/>
      <c r="M104" s="679"/>
      <c r="N104" s="679"/>
      <c r="P104" s="680">
        <f>IF(S104="","","Разлика текущ период:")</f>
      </c>
      <c r="Q104" s="680"/>
      <c r="R104" s="680"/>
      <c r="S104" s="405">
        <f>IF(K107=баланс!E36,"",K107-баланс!E36)</f>
      </c>
      <c r="T104" s="406"/>
    </row>
    <row r="105" spans="2:20" ht="12.75">
      <c r="B105" s="689" t="s">
        <v>269</v>
      </c>
      <c r="C105" s="689"/>
      <c r="D105" s="689"/>
      <c r="E105" s="689"/>
      <c r="F105" s="689"/>
      <c r="G105" s="689"/>
      <c r="H105" s="689"/>
      <c r="I105" s="689"/>
      <c r="J105" s="689"/>
      <c r="K105" s="679"/>
      <c r="L105" s="679"/>
      <c r="M105" s="679"/>
      <c r="N105" s="679"/>
      <c r="P105" s="678">
        <f>IF(S104="","","Сума по баланс:")</f>
      </c>
      <c r="Q105" s="678"/>
      <c r="R105" s="678"/>
      <c r="S105" s="407">
        <f>IF(S104="","",баланс!E36)</f>
      </c>
      <c r="T105" s="406"/>
    </row>
    <row r="106" spans="2:20" ht="12.75">
      <c r="B106" s="689" t="s">
        <v>270</v>
      </c>
      <c r="C106" s="689"/>
      <c r="D106" s="689"/>
      <c r="E106" s="689"/>
      <c r="F106" s="689"/>
      <c r="G106" s="689"/>
      <c r="H106" s="689"/>
      <c r="I106" s="689"/>
      <c r="J106" s="689"/>
      <c r="K106" s="679"/>
      <c r="L106" s="679"/>
      <c r="M106" s="679"/>
      <c r="N106" s="679"/>
      <c r="P106" s="680">
        <f>IF(S106="","","Разлика предходен период:")</f>
      </c>
      <c r="Q106" s="680"/>
      <c r="R106" s="680"/>
      <c r="S106" s="405">
        <f>IF(M107=баланс!G36,"",M107-баланс!G36)</f>
      </c>
      <c r="T106" s="406"/>
    </row>
    <row r="107" spans="2:20" ht="12.75">
      <c r="B107" s="688" t="s">
        <v>231</v>
      </c>
      <c r="C107" s="688"/>
      <c r="D107" s="688"/>
      <c r="E107" s="688"/>
      <c r="F107" s="688"/>
      <c r="G107" s="688"/>
      <c r="H107" s="688"/>
      <c r="I107" s="688"/>
      <c r="J107" s="688"/>
      <c r="K107" s="677">
        <f>SUM(K103:L106)</f>
        <v>0</v>
      </c>
      <c r="L107" s="677"/>
      <c r="M107" s="677">
        <f>SUM(M103:N106)</f>
        <v>0</v>
      </c>
      <c r="N107" s="677"/>
      <c r="P107" s="678">
        <f>IF(S106="","","Сума по баланс:")</f>
      </c>
      <c r="Q107" s="678"/>
      <c r="R107" s="678"/>
      <c r="S107" s="407">
        <f>IF(S106="","",баланс!G36)</f>
      </c>
      <c r="T107" s="406"/>
    </row>
    <row r="108" spans="2:14" ht="14.25">
      <c r="B108" s="692" t="s">
        <v>267</v>
      </c>
      <c r="C108" s="692"/>
      <c r="D108" s="692"/>
      <c r="E108" s="692"/>
      <c r="F108" s="692"/>
      <c r="G108" s="692"/>
      <c r="H108" s="692"/>
      <c r="I108" s="692"/>
      <c r="J108" s="692"/>
      <c r="K108" s="692"/>
      <c r="L108" s="692"/>
      <c r="M108" s="692"/>
      <c r="N108" s="692"/>
    </row>
    <row r="109" spans="2:14" ht="12.75">
      <c r="B109" s="700" t="s">
        <v>281</v>
      </c>
      <c r="C109" s="700"/>
      <c r="D109" s="700" t="s">
        <v>282</v>
      </c>
      <c r="E109" s="700"/>
      <c r="F109" s="700"/>
      <c r="G109" s="701">
        <f>K101</f>
        <v>40451</v>
      </c>
      <c r="H109" s="701"/>
      <c r="I109" s="701"/>
      <c r="J109" s="701"/>
      <c r="K109" s="701" t="str">
        <f>M101</f>
        <v>31.12.2009 г.</v>
      </c>
      <c r="L109" s="701"/>
      <c r="M109" s="701"/>
      <c r="N109" s="701"/>
    </row>
    <row r="110" spans="2:14" ht="12.75">
      <c r="B110" s="700"/>
      <c r="C110" s="700"/>
      <c r="D110" s="700"/>
      <c r="E110" s="700"/>
      <c r="F110" s="700"/>
      <c r="G110" s="699" t="s">
        <v>273</v>
      </c>
      <c r="H110" s="699"/>
      <c r="I110" s="699" t="s">
        <v>274</v>
      </c>
      <c r="J110" s="699"/>
      <c r="K110" s="699" t="s">
        <v>273</v>
      </c>
      <c r="L110" s="699"/>
      <c r="M110" s="699" t="s">
        <v>274</v>
      </c>
      <c r="N110" s="699"/>
    </row>
    <row r="111" spans="2:14" ht="12.75">
      <c r="B111" s="696"/>
      <c r="C111" s="696"/>
      <c r="D111" s="696"/>
      <c r="E111" s="696"/>
      <c r="F111" s="696"/>
      <c r="G111" s="697"/>
      <c r="H111" s="697"/>
      <c r="I111" s="698"/>
      <c r="J111" s="698"/>
      <c r="K111" s="697"/>
      <c r="L111" s="697"/>
      <c r="M111" s="698"/>
      <c r="N111" s="698"/>
    </row>
    <row r="112" spans="2:14" ht="12.75">
      <c r="B112" s="696"/>
      <c r="C112" s="696"/>
      <c r="D112" s="696"/>
      <c r="E112" s="696"/>
      <c r="F112" s="696"/>
      <c r="G112" s="697"/>
      <c r="H112" s="697"/>
      <c r="I112" s="698"/>
      <c r="J112" s="698"/>
      <c r="K112" s="697"/>
      <c r="L112" s="697"/>
      <c r="M112" s="698"/>
      <c r="N112" s="698"/>
    </row>
    <row r="113" spans="2:14" ht="12.75">
      <c r="B113" s="696"/>
      <c r="C113" s="696"/>
      <c r="D113" s="696"/>
      <c r="E113" s="696"/>
      <c r="F113" s="696"/>
      <c r="G113" s="697"/>
      <c r="H113" s="697"/>
      <c r="I113" s="698"/>
      <c r="J113" s="698"/>
      <c r="K113" s="697"/>
      <c r="L113" s="697"/>
      <c r="M113" s="698"/>
      <c r="N113" s="698"/>
    </row>
    <row r="114" spans="2:14" ht="12.75">
      <c r="B114" s="696"/>
      <c r="C114" s="696"/>
      <c r="D114" s="696"/>
      <c r="E114" s="696"/>
      <c r="F114" s="696"/>
      <c r="G114" s="697"/>
      <c r="H114" s="697"/>
      <c r="I114" s="698"/>
      <c r="J114" s="698"/>
      <c r="K114" s="697"/>
      <c r="L114" s="697"/>
      <c r="M114" s="698"/>
      <c r="N114" s="698"/>
    </row>
    <row r="115" spans="2:14" ht="12.75">
      <c r="B115" s="696"/>
      <c r="C115" s="696"/>
      <c r="D115" s="696"/>
      <c r="E115" s="696"/>
      <c r="F115" s="696"/>
      <c r="G115" s="697"/>
      <c r="H115" s="697"/>
      <c r="I115" s="698"/>
      <c r="J115" s="698"/>
      <c r="K115" s="697"/>
      <c r="L115" s="697"/>
      <c r="M115" s="698"/>
      <c r="N115" s="698"/>
    </row>
    <row r="116" spans="2:14" ht="12.75">
      <c r="B116" s="696"/>
      <c r="C116" s="696"/>
      <c r="D116" s="696"/>
      <c r="E116" s="696"/>
      <c r="F116" s="696"/>
      <c r="G116" s="697"/>
      <c r="H116" s="697"/>
      <c r="I116" s="698"/>
      <c r="J116" s="698"/>
      <c r="K116" s="697"/>
      <c r="L116" s="697"/>
      <c r="M116" s="698"/>
      <c r="N116" s="698"/>
    </row>
    <row r="117" spans="2:20" ht="12.75">
      <c r="B117" s="696"/>
      <c r="C117" s="696"/>
      <c r="D117" s="696"/>
      <c r="E117" s="696"/>
      <c r="F117" s="696"/>
      <c r="G117" s="697"/>
      <c r="H117" s="697"/>
      <c r="I117" s="698"/>
      <c r="J117" s="698"/>
      <c r="K117" s="697"/>
      <c r="L117" s="697"/>
      <c r="M117" s="698"/>
      <c r="N117" s="698"/>
      <c r="P117" s="681">
        <f>IF(AND(S118="",S120=""),"","Разлика между СПРАВКАТА и ПРИЛОЖЕНИЕ №2!")</f>
      </c>
      <c r="Q117" s="681"/>
      <c r="R117" s="681"/>
      <c r="S117" s="681"/>
      <c r="T117" s="681"/>
    </row>
    <row r="118" spans="2:20" ht="12.75">
      <c r="B118" s="696"/>
      <c r="C118" s="696"/>
      <c r="D118" s="696"/>
      <c r="E118" s="696"/>
      <c r="F118" s="696"/>
      <c r="G118" s="697"/>
      <c r="H118" s="697"/>
      <c r="I118" s="698"/>
      <c r="J118" s="698"/>
      <c r="K118" s="697"/>
      <c r="L118" s="697"/>
      <c r="M118" s="698"/>
      <c r="N118" s="698"/>
      <c r="P118" s="680">
        <f>IF(S118="","","Разлика текущ период:")</f>
      </c>
      <c r="Q118" s="680"/>
      <c r="R118" s="680"/>
      <c r="S118" s="405">
        <f>IF(I121=K103,"",I121-K103)</f>
      </c>
      <c r="T118" s="406"/>
    </row>
    <row r="119" spans="2:20" ht="12.75">
      <c r="B119" s="696"/>
      <c r="C119" s="696"/>
      <c r="D119" s="696"/>
      <c r="E119" s="696"/>
      <c r="F119" s="696"/>
      <c r="G119" s="697"/>
      <c r="H119" s="697"/>
      <c r="I119" s="698"/>
      <c r="J119" s="698"/>
      <c r="K119" s="697"/>
      <c r="L119" s="697"/>
      <c r="M119" s="698"/>
      <c r="N119" s="698"/>
      <c r="P119" s="678">
        <f>IF(S118="","","Сума по приложение №2:")</f>
      </c>
      <c r="Q119" s="678"/>
      <c r="R119" s="678"/>
      <c r="S119" s="407">
        <f>IF(I121=K103,"",K103)</f>
      </c>
      <c r="T119" s="406"/>
    </row>
    <row r="120" spans="2:20" ht="12.75">
      <c r="B120" s="696"/>
      <c r="C120" s="696"/>
      <c r="D120" s="696"/>
      <c r="E120" s="696"/>
      <c r="F120" s="696"/>
      <c r="G120" s="697"/>
      <c r="H120" s="697"/>
      <c r="I120" s="698"/>
      <c r="J120" s="698"/>
      <c r="K120" s="697"/>
      <c r="L120" s="697"/>
      <c r="M120" s="698"/>
      <c r="N120" s="698"/>
      <c r="P120" s="680">
        <f>IF(S120="","","Разлика предходен период:")</f>
      </c>
      <c r="Q120" s="680"/>
      <c r="R120" s="680"/>
      <c r="S120" s="405">
        <f>IF(M121=M103,"",M121-M103)</f>
      </c>
      <c r="T120" s="406"/>
    </row>
    <row r="121" spans="2:20" ht="12.75">
      <c r="B121" s="688" t="s">
        <v>231</v>
      </c>
      <c r="C121" s="688"/>
      <c r="D121" s="688"/>
      <c r="E121" s="688"/>
      <c r="F121" s="688"/>
      <c r="G121" s="695"/>
      <c r="H121" s="695"/>
      <c r="I121" s="694">
        <f>SUM(I111:J120)</f>
        <v>0</v>
      </c>
      <c r="J121" s="694"/>
      <c r="K121" s="695"/>
      <c r="L121" s="695"/>
      <c r="M121" s="694">
        <f>SUM(M111:N120)</f>
        <v>0</v>
      </c>
      <c r="N121" s="694"/>
      <c r="P121" s="678">
        <f>IF(S120="","","Сума по приложение №2:")</f>
      </c>
      <c r="Q121" s="678"/>
      <c r="R121" s="678"/>
      <c r="S121" s="407">
        <f>IF(M121=M103,"",M103)</f>
      </c>
      <c r="T121" s="406"/>
    </row>
    <row r="122" spans="2:14" ht="14.25">
      <c r="B122" s="692" t="s">
        <v>297</v>
      </c>
      <c r="C122" s="692"/>
      <c r="D122" s="692"/>
      <c r="E122" s="692"/>
      <c r="F122" s="692"/>
      <c r="G122" s="692"/>
      <c r="H122" s="692"/>
      <c r="I122" s="692"/>
      <c r="J122" s="692"/>
      <c r="K122" s="692"/>
      <c r="L122" s="692"/>
      <c r="M122" s="692"/>
      <c r="N122" s="692"/>
    </row>
    <row r="123" spans="2:14" ht="12.75">
      <c r="B123" s="700" t="s">
        <v>281</v>
      </c>
      <c r="C123" s="700"/>
      <c r="D123" s="700" t="s">
        <v>282</v>
      </c>
      <c r="E123" s="700"/>
      <c r="F123" s="700"/>
      <c r="G123" s="701">
        <f>K101</f>
        <v>40451</v>
      </c>
      <c r="H123" s="701"/>
      <c r="I123" s="701"/>
      <c r="J123" s="701"/>
      <c r="K123" s="701" t="str">
        <f>M101</f>
        <v>31.12.2009 г.</v>
      </c>
      <c r="L123" s="701"/>
      <c r="M123" s="701"/>
      <c r="N123" s="701"/>
    </row>
    <row r="124" spans="2:14" ht="12.75">
      <c r="B124" s="700"/>
      <c r="C124" s="700"/>
      <c r="D124" s="700"/>
      <c r="E124" s="700"/>
      <c r="F124" s="700"/>
      <c r="G124" s="699" t="s">
        <v>273</v>
      </c>
      <c r="H124" s="699"/>
      <c r="I124" s="699" t="s">
        <v>274</v>
      </c>
      <c r="J124" s="699"/>
      <c r="K124" s="699" t="s">
        <v>273</v>
      </c>
      <c r="L124" s="699"/>
      <c r="M124" s="699" t="s">
        <v>274</v>
      </c>
      <c r="N124" s="699"/>
    </row>
    <row r="125" spans="2:14" ht="12.75">
      <c r="B125" s="696"/>
      <c r="C125" s="696"/>
      <c r="D125" s="696"/>
      <c r="E125" s="696"/>
      <c r="F125" s="696"/>
      <c r="G125" s="697"/>
      <c r="H125" s="697"/>
      <c r="I125" s="698"/>
      <c r="J125" s="698"/>
      <c r="K125" s="697"/>
      <c r="L125" s="697"/>
      <c r="M125" s="698"/>
      <c r="N125" s="698"/>
    </row>
    <row r="126" spans="2:14" ht="12.75">
      <c r="B126" s="696"/>
      <c r="C126" s="696"/>
      <c r="D126" s="696"/>
      <c r="E126" s="696"/>
      <c r="F126" s="696"/>
      <c r="G126" s="697"/>
      <c r="H126" s="697"/>
      <c r="I126" s="698"/>
      <c r="J126" s="698"/>
      <c r="K126" s="697"/>
      <c r="L126" s="697"/>
      <c r="M126" s="698"/>
      <c r="N126" s="698"/>
    </row>
    <row r="127" spans="2:14" ht="12.75">
      <c r="B127" s="696"/>
      <c r="C127" s="696"/>
      <c r="D127" s="696"/>
      <c r="E127" s="696"/>
      <c r="F127" s="696"/>
      <c r="G127" s="697"/>
      <c r="H127" s="697"/>
      <c r="I127" s="698"/>
      <c r="J127" s="698"/>
      <c r="K127" s="697"/>
      <c r="L127" s="697"/>
      <c r="M127" s="698"/>
      <c r="N127" s="698"/>
    </row>
    <row r="128" spans="2:14" ht="12.75">
      <c r="B128" s="696"/>
      <c r="C128" s="696"/>
      <c r="D128" s="696"/>
      <c r="E128" s="696"/>
      <c r="F128" s="696"/>
      <c r="G128" s="697"/>
      <c r="H128" s="697"/>
      <c r="I128" s="698"/>
      <c r="J128" s="698"/>
      <c r="K128" s="697"/>
      <c r="L128" s="697"/>
      <c r="M128" s="698"/>
      <c r="N128" s="698"/>
    </row>
    <row r="129" spans="2:14" ht="12.75">
      <c r="B129" s="696"/>
      <c r="C129" s="696"/>
      <c r="D129" s="696"/>
      <c r="E129" s="696"/>
      <c r="F129" s="696"/>
      <c r="G129" s="697"/>
      <c r="H129" s="697"/>
      <c r="I129" s="698"/>
      <c r="J129" s="698"/>
      <c r="K129" s="697"/>
      <c r="L129" s="697"/>
      <c r="M129" s="698"/>
      <c r="N129" s="698"/>
    </row>
    <row r="130" spans="2:14" ht="12.75">
      <c r="B130" s="696"/>
      <c r="C130" s="696"/>
      <c r="D130" s="696"/>
      <c r="E130" s="696"/>
      <c r="F130" s="696"/>
      <c r="G130" s="697"/>
      <c r="H130" s="697"/>
      <c r="I130" s="698"/>
      <c r="J130" s="698"/>
      <c r="K130" s="697"/>
      <c r="L130" s="697"/>
      <c r="M130" s="698"/>
      <c r="N130" s="698"/>
    </row>
    <row r="131" spans="2:20" ht="12.75">
      <c r="B131" s="696"/>
      <c r="C131" s="696"/>
      <c r="D131" s="696"/>
      <c r="E131" s="696"/>
      <c r="F131" s="696"/>
      <c r="G131" s="697"/>
      <c r="H131" s="697"/>
      <c r="I131" s="698"/>
      <c r="J131" s="698"/>
      <c r="K131" s="697"/>
      <c r="L131" s="697"/>
      <c r="M131" s="698"/>
      <c r="N131" s="698"/>
      <c r="P131" s="681">
        <f>IF(AND(S132="",S134=""),"","Разлика между СПРАВКАТА и ПРИЛОЖЕНИЕ №2!")</f>
      </c>
      <c r="Q131" s="681"/>
      <c r="R131" s="681"/>
      <c r="S131" s="681"/>
      <c r="T131" s="681"/>
    </row>
    <row r="132" spans="2:20" ht="12.75">
      <c r="B132" s="696"/>
      <c r="C132" s="696"/>
      <c r="D132" s="696"/>
      <c r="E132" s="696"/>
      <c r="F132" s="696"/>
      <c r="G132" s="697"/>
      <c r="H132" s="697"/>
      <c r="I132" s="698"/>
      <c r="J132" s="698"/>
      <c r="K132" s="697"/>
      <c r="L132" s="697"/>
      <c r="M132" s="698"/>
      <c r="N132" s="698"/>
      <c r="P132" s="680">
        <f>IF(S132="","","Разлика текущ период:")</f>
      </c>
      <c r="Q132" s="680"/>
      <c r="R132" s="680"/>
      <c r="S132" s="405">
        <f>IF(I135=K104,"",I135-K104)</f>
      </c>
      <c r="T132" s="406"/>
    </row>
    <row r="133" spans="2:20" ht="12.75">
      <c r="B133" s="696"/>
      <c r="C133" s="696"/>
      <c r="D133" s="696"/>
      <c r="E133" s="696"/>
      <c r="F133" s="696"/>
      <c r="G133" s="697"/>
      <c r="H133" s="697"/>
      <c r="I133" s="698"/>
      <c r="J133" s="698"/>
      <c r="K133" s="697"/>
      <c r="L133" s="697"/>
      <c r="M133" s="698"/>
      <c r="N133" s="698"/>
      <c r="P133" s="678">
        <f>IF(S132="","","Сума по приложение №2:")</f>
      </c>
      <c r="Q133" s="678"/>
      <c r="R133" s="678"/>
      <c r="S133" s="407">
        <f>IF(I135=K104,"",K104)</f>
      </c>
      <c r="T133" s="406"/>
    </row>
    <row r="134" spans="2:20" ht="12.75">
      <c r="B134" s="696"/>
      <c r="C134" s="696"/>
      <c r="D134" s="696"/>
      <c r="E134" s="696"/>
      <c r="F134" s="696"/>
      <c r="G134" s="697"/>
      <c r="H134" s="697"/>
      <c r="I134" s="698"/>
      <c r="J134" s="698"/>
      <c r="K134" s="697"/>
      <c r="L134" s="697"/>
      <c r="M134" s="698"/>
      <c r="N134" s="698"/>
      <c r="P134" s="680">
        <f>IF(S134="","","Разлика предходен период:")</f>
      </c>
      <c r="Q134" s="680"/>
      <c r="R134" s="680"/>
      <c r="S134" s="405">
        <f>IF(M135=M104,"",M135-M104)</f>
      </c>
      <c r="T134" s="406"/>
    </row>
    <row r="135" spans="2:20" ht="12.75">
      <c r="B135" s="688" t="s">
        <v>231</v>
      </c>
      <c r="C135" s="688"/>
      <c r="D135" s="688"/>
      <c r="E135" s="688"/>
      <c r="F135" s="688"/>
      <c r="G135" s="695"/>
      <c r="H135" s="695"/>
      <c r="I135" s="694">
        <f>SUM(I125:J134)</f>
        <v>0</v>
      </c>
      <c r="J135" s="694"/>
      <c r="K135" s="695"/>
      <c r="L135" s="695"/>
      <c r="M135" s="694">
        <f>SUM(M125:N134)</f>
        <v>0</v>
      </c>
      <c r="N135" s="694"/>
      <c r="P135" s="678">
        <f>IF(S134="","","Сума по приложение №2:")</f>
      </c>
      <c r="Q135" s="678"/>
      <c r="R135" s="678"/>
      <c r="S135" s="407">
        <f>IF(M135=M104,"",M104)</f>
      </c>
      <c r="T135" s="406"/>
    </row>
    <row r="136" spans="2:14" ht="14.25">
      <c r="B136" s="692" t="s">
        <v>298</v>
      </c>
      <c r="C136" s="692"/>
      <c r="D136" s="692"/>
      <c r="E136" s="692"/>
      <c r="F136" s="692"/>
      <c r="G136" s="692"/>
      <c r="H136" s="692"/>
      <c r="I136" s="692"/>
      <c r="J136" s="692"/>
      <c r="K136" s="692"/>
      <c r="L136" s="692"/>
      <c r="M136" s="692"/>
      <c r="N136" s="692"/>
    </row>
    <row r="137" spans="2:14" ht="12.75">
      <c r="B137" s="687" t="s">
        <v>281</v>
      </c>
      <c r="C137" s="687"/>
      <c r="D137" s="687"/>
      <c r="E137" s="687"/>
      <c r="F137" s="687"/>
      <c r="G137" s="687"/>
      <c r="H137" s="687"/>
      <c r="I137" s="687"/>
      <c r="J137" s="687"/>
      <c r="K137" s="693">
        <f>K101</f>
        <v>40451</v>
      </c>
      <c r="L137" s="693"/>
      <c r="M137" s="693" t="str">
        <f>M101</f>
        <v>31.12.2009 г.</v>
      </c>
      <c r="N137" s="693"/>
    </row>
    <row r="138" spans="2:14" ht="12.75">
      <c r="B138" s="690" t="s">
        <v>284</v>
      </c>
      <c r="C138" s="690"/>
      <c r="D138" s="690"/>
      <c r="E138" s="690"/>
      <c r="F138" s="690"/>
      <c r="G138" s="690"/>
      <c r="H138" s="690"/>
      <c r="I138" s="690"/>
      <c r="J138" s="690"/>
      <c r="K138" s="691">
        <f>SUM(K139:L140)</f>
        <v>0</v>
      </c>
      <c r="L138" s="691"/>
      <c r="M138" s="691">
        <f>SUM(M139:N140)</f>
        <v>0</v>
      </c>
      <c r="N138" s="691"/>
    </row>
    <row r="139" spans="2:14" ht="12.75">
      <c r="B139" s="689" t="s">
        <v>285</v>
      </c>
      <c r="C139" s="689"/>
      <c r="D139" s="689"/>
      <c r="E139" s="689"/>
      <c r="F139" s="689"/>
      <c r="G139" s="689"/>
      <c r="H139" s="689"/>
      <c r="I139" s="689"/>
      <c r="J139" s="689"/>
      <c r="K139" s="679"/>
      <c r="L139" s="679"/>
      <c r="M139" s="679"/>
      <c r="N139" s="679"/>
    </row>
    <row r="140" spans="2:20" ht="12.75">
      <c r="B140" s="689" t="s">
        <v>286</v>
      </c>
      <c r="C140" s="689"/>
      <c r="D140" s="689"/>
      <c r="E140" s="689"/>
      <c r="F140" s="689"/>
      <c r="G140" s="689"/>
      <c r="H140" s="689"/>
      <c r="I140" s="689"/>
      <c r="J140" s="689"/>
      <c r="K140" s="679"/>
      <c r="L140" s="679"/>
      <c r="M140" s="679"/>
      <c r="N140" s="679"/>
      <c r="P140" s="681">
        <f>IF(AND(S141="",S143=""),"","Разлика между СПРАВКАТА и ПРИЛОЖЕНИЕ №2!")</f>
      </c>
      <c r="Q140" s="681"/>
      <c r="R140" s="681"/>
      <c r="S140" s="681"/>
      <c r="T140" s="681"/>
    </row>
    <row r="141" spans="2:20" ht="12.75">
      <c r="B141" s="690" t="s">
        <v>287</v>
      </c>
      <c r="C141" s="690"/>
      <c r="D141" s="690"/>
      <c r="E141" s="690"/>
      <c r="F141" s="690"/>
      <c r="G141" s="690"/>
      <c r="H141" s="690"/>
      <c r="I141" s="690"/>
      <c r="J141" s="690"/>
      <c r="K141" s="691">
        <f>SUM(K142:L143)</f>
        <v>0</v>
      </c>
      <c r="L141" s="691"/>
      <c r="M141" s="691">
        <f>SUM(M142:N143)</f>
        <v>0</v>
      </c>
      <c r="N141" s="691"/>
      <c r="P141" s="680">
        <f>IF(S141="","","Разлика текущ период:")</f>
      </c>
      <c r="Q141" s="680"/>
      <c r="R141" s="680"/>
      <c r="S141" s="405">
        <f>IF(K144=K105,"",K144-K105)</f>
      </c>
      <c r="T141" s="406"/>
    </row>
    <row r="142" spans="2:20" ht="12.75">
      <c r="B142" s="689" t="s">
        <v>269</v>
      </c>
      <c r="C142" s="689"/>
      <c r="D142" s="689"/>
      <c r="E142" s="689"/>
      <c r="F142" s="689"/>
      <c r="G142" s="689"/>
      <c r="H142" s="689"/>
      <c r="I142" s="689"/>
      <c r="J142" s="689"/>
      <c r="K142" s="679"/>
      <c r="L142" s="679"/>
      <c r="M142" s="679"/>
      <c r="N142" s="679"/>
      <c r="P142" s="678">
        <f>IF(S141="","","Сума по приложение №2:")</f>
      </c>
      <c r="Q142" s="678"/>
      <c r="R142" s="678"/>
      <c r="S142" s="407">
        <f>IF(K144=K105,"",K105)</f>
      </c>
      <c r="T142" s="406"/>
    </row>
    <row r="143" spans="2:20" ht="12.75">
      <c r="B143" s="689" t="s">
        <v>288</v>
      </c>
      <c r="C143" s="689"/>
      <c r="D143" s="689"/>
      <c r="E143" s="689"/>
      <c r="F143" s="689"/>
      <c r="G143" s="689"/>
      <c r="H143" s="689"/>
      <c r="I143" s="689"/>
      <c r="J143" s="689"/>
      <c r="K143" s="679"/>
      <c r="L143" s="679"/>
      <c r="M143" s="679"/>
      <c r="N143" s="679"/>
      <c r="P143" s="680">
        <f>IF(S143="","","Разлика предходен период:")</f>
      </c>
      <c r="Q143" s="680"/>
      <c r="R143" s="680"/>
      <c r="S143" s="405">
        <f>IF(M144=M105,"",M144-M105)</f>
      </c>
      <c r="T143" s="406"/>
    </row>
    <row r="144" spans="2:20" ht="12.75">
      <c r="B144" s="688" t="s">
        <v>231</v>
      </c>
      <c r="C144" s="688"/>
      <c r="D144" s="688"/>
      <c r="E144" s="688"/>
      <c r="F144" s="688"/>
      <c r="G144" s="688"/>
      <c r="H144" s="688"/>
      <c r="I144" s="688"/>
      <c r="J144" s="688"/>
      <c r="K144" s="677">
        <f>K138+K141</f>
        <v>0</v>
      </c>
      <c r="L144" s="677"/>
      <c r="M144" s="677">
        <f>M138+M141</f>
        <v>0</v>
      </c>
      <c r="N144" s="677"/>
      <c r="P144" s="678">
        <f>IF(S143="","","Сума по приложение №2:")</f>
      </c>
      <c r="Q144" s="678"/>
      <c r="R144" s="678"/>
      <c r="S144" s="407">
        <f>IF(M144=M105,"",M105)</f>
      </c>
      <c r="T144" s="406"/>
    </row>
    <row r="145" spans="2:14" ht="14.25">
      <c r="B145" s="692" t="s">
        <v>299</v>
      </c>
      <c r="C145" s="692"/>
      <c r="D145" s="692"/>
      <c r="E145" s="692"/>
      <c r="F145" s="692"/>
      <c r="G145" s="692"/>
      <c r="H145" s="692"/>
      <c r="I145" s="692"/>
      <c r="J145" s="692"/>
      <c r="K145" s="692"/>
      <c r="L145" s="692"/>
      <c r="M145" s="692"/>
      <c r="N145" s="692"/>
    </row>
    <row r="146" spans="2:14" ht="12.75">
      <c r="B146" s="687" t="s">
        <v>281</v>
      </c>
      <c r="C146" s="687"/>
      <c r="D146" s="687"/>
      <c r="E146" s="687"/>
      <c r="F146" s="687"/>
      <c r="G146" s="687"/>
      <c r="H146" s="687"/>
      <c r="I146" s="687"/>
      <c r="J146" s="687"/>
      <c r="K146" s="693">
        <f>K101</f>
        <v>40451</v>
      </c>
      <c r="L146" s="693"/>
      <c r="M146" s="693" t="str">
        <f>M101</f>
        <v>31.12.2009 г.</v>
      </c>
      <c r="N146" s="693"/>
    </row>
    <row r="147" spans="2:14" ht="12.75">
      <c r="B147" s="690" t="s">
        <v>290</v>
      </c>
      <c r="C147" s="690"/>
      <c r="D147" s="690"/>
      <c r="E147" s="690"/>
      <c r="F147" s="690"/>
      <c r="G147" s="690"/>
      <c r="H147" s="690"/>
      <c r="I147" s="690"/>
      <c r="J147" s="690"/>
      <c r="K147" s="691">
        <f>SUM(K148:L149)</f>
        <v>0</v>
      </c>
      <c r="L147" s="691"/>
      <c r="M147" s="691">
        <f>SUM(M148:N149)</f>
        <v>0</v>
      </c>
      <c r="N147" s="691"/>
    </row>
    <row r="148" spans="2:14" ht="12.75">
      <c r="B148" s="689" t="s">
        <v>291</v>
      </c>
      <c r="C148" s="689"/>
      <c r="D148" s="689"/>
      <c r="E148" s="689"/>
      <c r="F148" s="689"/>
      <c r="G148" s="689"/>
      <c r="H148" s="689"/>
      <c r="I148" s="689"/>
      <c r="J148" s="689"/>
      <c r="K148" s="679"/>
      <c r="L148" s="679"/>
      <c r="M148" s="679"/>
      <c r="N148" s="679"/>
    </row>
    <row r="149" spans="2:20" ht="12.75">
      <c r="B149" s="689" t="s">
        <v>292</v>
      </c>
      <c r="C149" s="689"/>
      <c r="D149" s="689"/>
      <c r="E149" s="689"/>
      <c r="F149" s="689"/>
      <c r="G149" s="689"/>
      <c r="H149" s="689"/>
      <c r="I149" s="689"/>
      <c r="J149" s="689"/>
      <c r="K149" s="679"/>
      <c r="L149" s="679"/>
      <c r="M149" s="679"/>
      <c r="N149" s="679"/>
      <c r="P149" s="681">
        <f>IF(AND(S150="",S152=""),"","Разлика между СПРАВКАТА и ПРИЛОЖЕНИЕ №2!")</f>
      </c>
      <c r="Q149" s="681"/>
      <c r="R149" s="681"/>
      <c r="S149" s="681"/>
      <c r="T149" s="681"/>
    </row>
    <row r="150" spans="2:20" ht="12.75">
      <c r="B150" s="690" t="s">
        <v>293</v>
      </c>
      <c r="C150" s="690"/>
      <c r="D150" s="690"/>
      <c r="E150" s="690"/>
      <c r="F150" s="690"/>
      <c r="G150" s="690"/>
      <c r="H150" s="690"/>
      <c r="I150" s="690"/>
      <c r="J150" s="690"/>
      <c r="K150" s="691">
        <f>SUM(K151:L152)</f>
        <v>0</v>
      </c>
      <c r="L150" s="691"/>
      <c r="M150" s="691">
        <f>SUM(M151:N152)</f>
        <v>0</v>
      </c>
      <c r="N150" s="691"/>
      <c r="P150" s="680">
        <f>IF(S150="","","Разлика текущ период:")</f>
      </c>
      <c r="Q150" s="680"/>
      <c r="R150" s="680"/>
      <c r="S150" s="405">
        <f>IF(K153=K6,"",K153-K6)</f>
      </c>
      <c r="T150" s="406"/>
    </row>
    <row r="151" spans="2:20" ht="12.75">
      <c r="B151" s="689" t="s">
        <v>270</v>
      </c>
      <c r="C151" s="689"/>
      <c r="D151" s="689"/>
      <c r="E151" s="689"/>
      <c r="F151" s="689"/>
      <c r="G151" s="689"/>
      <c r="H151" s="689"/>
      <c r="I151" s="689"/>
      <c r="J151" s="689"/>
      <c r="K151" s="679"/>
      <c r="L151" s="679"/>
      <c r="M151" s="679"/>
      <c r="N151" s="679"/>
      <c r="P151" s="678">
        <f>IF(S150="","","Сума по приложение №2:")</f>
      </c>
      <c r="Q151" s="678"/>
      <c r="R151" s="678"/>
      <c r="S151" s="407">
        <f>IF(K153=K106,"",K6)</f>
      </c>
      <c r="T151" s="406"/>
    </row>
    <row r="152" spans="2:20" ht="12.75">
      <c r="B152" s="689" t="s">
        <v>294</v>
      </c>
      <c r="C152" s="689"/>
      <c r="D152" s="689"/>
      <c r="E152" s="689"/>
      <c r="F152" s="689"/>
      <c r="G152" s="689"/>
      <c r="H152" s="689"/>
      <c r="I152" s="689"/>
      <c r="J152" s="689"/>
      <c r="K152" s="679"/>
      <c r="L152" s="679"/>
      <c r="M152" s="679"/>
      <c r="N152" s="679"/>
      <c r="P152" s="680">
        <f>IF(S152="","","Разлика предходен период:")</f>
      </c>
      <c r="Q152" s="680"/>
      <c r="R152" s="680"/>
      <c r="S152" s="405">
        <f>IF(M153=M106,"",M153-M6)</f>
      </c>
      <c r="T152" s="406"/>
    </row>
    <row r="153" spans="2:20" ht="12.75">
      <c r="B153" s="688" t="s">
        <v>231</v>
      </c>
      <c r="C153" s="688"/>
      <c r="D153" s="688"/>
      <c r="E153" s="688"/>
      <c r="F153" s="688"/>
      <c r="G153" s="688"/>
      <c r="H153" s="688"/>
      <c r="I153" s="688"/>
      <c r="J153" s="688"/>
      <c r="K153" s="677">
        <f>K147+K150</f>
        <v>0</v>
      </c>
      <c r="L153" s="677"/>
      <c r="M153" s="677">
        <f>M147+M150</f>
        <v>0</v>
      </c>
      <c r="N153" s="677"/>
      <c r="P153" s="678">
        <f>IF(S152="","","Сума по приложение №2:")</f>
      </c>
      <c r="Q153" s="678"/>
      <c r="R153" s="678"/>
      <c r="S153" s="407">
        <f>IF(M153=M106,"",M106)</f>
      </c>
      <c r="T153" s="406"/>
    </row>
    <row r="154" spans="2:14" ht="12.75">
      <c r="B154" s="412"/>
      <c r="C154" s="412"/>
      <c r="D154" s="412"/>
      <c r="E154" s="412"/>
      <c r="F154" s="412"/>
      <c r="G154" s="412"/>
      <c r="H154" s="412"/>
      <c r="I154" s="412"/>
      <c r="J154" s="412"/>
      <c r="K154" s="412"/>
      <c r="L154" s="412"/>
      <c r="M154" s="412"/>
      <c r="N154" s="412"/>
    </row>
    <row r="155" spans="2:14" ht="12.75">
      <c r="B155" s="413"/>
      <c r="C155" s="413"/>
      <c r="D155" s="413"/>
      <c r="E155" s="413"/>
      <c r="F155" s="413"/>
      <c r="G155" s="413"/>
      <c r="H155" s="413"/>
      <c r="I155" s="413"/>
      <c r="J155" s="413"/>
      <c r="K155" s="413"/>
      <c r="L155" s="413"/>
      <c r="M155" s="413"/>
      <c r="N155" s="413"/>
    </row>
    <row r="156" spans="2:14" ht="14.25">
      <c r="B156" s="686" t="s">
        <v>300</v>
      </c>
      <c r="C156" s="686"/>
      <c r="D156" s="686"/>
      <c r="E156" s="686"/>
      <c r="F156" s="686"/>
      <c r="G156" s="686"/>
      <c r="H156" s="686"/>
      <c r="I156" s="686"/>
      <c r="J156" s="686"/>
      <c r="K156" s="686"/>
      <c r="L156" s="686"/>
      <c r="M156" s="686"/>
      <c r="N156" s="686"/>
    </row>
    <row r="157" spans="2:14" ht="12.75">
      <c r="B157" s="687" t="s">
        <v>301</v>
      </c>
      <c r="C157" s="687"/>
      <c r="D157" s="687"/>
      <c r="E157" s="687"/>
      <c r="F157" s="687"/>
      <c r="G157" s="414" t="s">
        <v>302</v>
      </c>
      <c r="H157" s="414" t="s">
        <v>303</v>
      </c>
      <c r="I157" s="414" t="s">
        <v>304</v>
      </c>
      <c r="J157" s="687" t="s">
        <v>305</v>
      </c>
      <c r="K157" s="687"/>
      <c r="L157" s="687"/>
      <c r="M157" s="687"/>
      <c r="N157" s="687"/>
    </row>
    <row r="158" spans="2:14" ht="12.75">
      <c r="B158" s="682"/>
      <c r="C158" s="682"/>
      <c r="D158" s="682"/>
      <c r="E158" s="682"/>
      <c r="F158" s="682"/>
      <c r="G158" s="308"/>
      <c r="H158" s="415"/>
      <c r="I158" s="308"/>
      <c r="J158" s="682"/>
      <c r="K158" s="682"/>
      <c r="L158" s="682"/>
      <c r="M158" s="682"/>
      <c r="N158" s="682"/>
    </row>
    <row r="159" spans="2:14" ht="12.75">
      <c r="B159" s="682"/>
      <c r="C159" s="682"/>
      <c r="D159" s="682"/>
      <c r="E159" s="682"/>
      <c r="F159" s="682"/>
      <c r="G159" s="308"/>
      <c r="H159" s="415"/>
      <c r="I159" s="308"/>
      <c r="J159" s="682"/>
      <c r="K159" s="682"/>
      <c r="L159" s="682"/>
      <c r="M159" s="682"/>
      <c r="N159" s="682"/>
    </row>
    <row r="160" spans="2:14" ht="12.75">
      <c r="B160" s="682"/>
      <c r="C160" s="682"/>
      <c r="D160" s="682"/>
      <c r="E160" s="682"/>
      <c r="F160" s="682"/>
      <c r="G160" s="308"/>
      <c r="H160" s="415"/>
      <c r="I160" s="308"/>
      <c r="J160" s="682"/>
      <c r="K160" s="682"/>
      <c r="L160" s="682"/>
      <c r="M160" s="682"/>
      <c r="N160" s="682"/>
    </row>
    <row r="161" spans="2:14" ht="12.75">
      <c r="B161" s="682"/>
      <c r="C161" s="682"/>
      <c r="D161" s="682"/>
      <c r="E161" s="682"/>
      <c r="F161" s="682"/>
      <c r="G161" s="308"/>
      <c r="H161" s="415"/>
      <c r="I161" s="308"/>
      <c r="J161" s="682"/>
      <c r="K161" s="682"/>
      <c r="L161" s="682"/>
      <c r="M161" s="682"/>
      <c r="N161" s="682"/>
    </row>
    <row r="162" spans="2:14" ht="12.75">
      <c r="B162" s="682"/>
      <c r="C162" s="682"/>
      <c r="D162" s="682"/>
      <c r="E162" s="682"/>
      <c r="F162" s="682"/>
      <c r="G162" s="308"/>
      <c r="H162" s="415"/>
      <c r="I162" s="308"/>
      <c r="J162" s="682"/>
      <c r="K162" s="682"/>
      <c r="L162" s="682"/>
      <c r="M162" s="682"/>
      <c r="N162" s="682"/>
    </row>
    <row r="163" spans="2:14" ht="12.75">
      <c r="B163" s="682"/>
      <c r="C163" s="682"/>
      <c r="D163" s="682"/>
      <c r="E163" s="682"/>
      <c r="F163" s="682"/>
      <c r="G163" s="308"/>
      <c r="H163" s="415"/>
      <c r="I163" s="308"/>
      <c r="J163" s="682"/>
      <c r="K163" s="682"/>
      <c r="L163" s="682"/>
      <c r="M163" s="682"/>
      <c r="N163" s="682"/>
    </row>
    <row r="164" spans="2:14" ht="12.75">
      <c r="B164" s="682"/>
      <c r="C164" s="682"/>
      <c r="D164" s="682"/>
      <c r="E164" s="682"/>
      <c r="F164" s="682"/>
      <c r="G164" s="308"/>
      <c r="H164" s="415"/>
      <c r="I164" s="308"/>
      <c r="J164" s="682"/>
      <c r="K164" s="682"/>
      <c r="L164" s="682"/>
      <c r="M164" s="682"/>
      <c r="N164" s="682"/>
    </row>
    <row r="165" spans="2:14" ht="12.75">
      <c r="B165" s="682"/>
      <c r="C165" s="682"/>
      <c r="D165" s="682"/>
      <c r="E165" s="682"/>
      <c r="F165" s="682"/>
      <c r="G165" s="308"/>
      <c r="H165" s="415"/>
      <c r="I165" s="308"/>
      <c r="J165" s="682"/>
      <c r="K165" s="682"/>
      <c r="L165" s="682"/>
      <c r="M165" s="682"/>
      <c r="N165" s="682"/>
    </row>
    <row r="166" spans="2:14" ht="12.75">
      <c r="B166" s="682"/>
      <c r="C166" s="682"/>
      <c r="D166" s="682"/>
      <c r="E166" s="682"/>
      <c r="F166" s="682"/>
      <c r="G166" s="308"/>
      <c r="H166" s="415"/>
      <c r="I166" s="308"/>
      <c r="J166" s="682"/>
      <c r="K166" s="682"/>
      <c r="L166" s="682"/>
      <c r="M166" s="682"/>
      <c r="N166" s="682"/>
    </row>
    <row r="167" spans="2:14" ht="12.75">
      <c r="B167" s="682"/>
      <c r="C167" s="682"/>
      <c r="D167" s="682"/>
      <c r="E167" s="682"/>
      <c r="F167" s="682"/>
      <c r="G167" s="308"/>
      <c r="H167" s="415"/>
      <c r="I167" s="308"/>
      <c r="J167" s="682"/>
      <c r="K167" s="682"/>
      <c r="L167" s="682"/>
      <c r="M167" s="682"/>
      <c r="N167" s="682"/>
    </row>
    <row r="168" spans="2:14" ht="14.25">
      <c r="B168" s="683" t="s">
        <v>306</v>
      </c>
      <c r="C168" s="683"/>
      <c r="D168" s="683"/>
      <c r="E168" s="683"/>
      <c r="F168" s="683"/>
      <c r="G168" s="683"/>
      <c r="H168" s="683"/>
      <c r="I168" s="683"/>
      <c r="J168" s="683"/>
      <c r="K168" s="683"/>
      <c r="L168" s="683"/>
      <c r="M168" s="683"/>
      <c r="N168" s="683"/>
    </row>
    <row r="169" spans="2:15" ht="12.75" customHeight="1">
      <c r="B169" s="684" t="s">
        <v>301</v>
      </c>
      <c r="C169" s="684"/>
      <c r="D169" s="684"/>
      <c r="E169" s="684"/>
      <c r="F169" s="684"/>
      <c r="G169" s="684"/>
      <c r="H169" s="684"/>
      <c r="I169" s="684"/>
      <c r="J169" s="684"/>
      <c r="K169" s="685" t="s">
        <v>307</v>
      </c>
      <c r="L169" s="685"/>
      <c r="M169" s="685" t="s">
        <v>308</v>
      </c>
      <c r="N169" s="685"/>
      <c r="O169" s="413"/>
    </row>
    <row r="170" spans="2:15" ht="12.75">
      <c r="B170" s="684"/>
      <c r="C170" s="684"/>
      <c r="D170" s="684"/>
      <c r="E170" s="684"/>
      <c r="F170" s="684"/>
      <c r="G170" s="684"/>
      <c r="H170" s="684"/>
      <c r="I170" s="684"/>
      <c r="J170" s="684"/>
      <c r="K170" s="685"/>
      <c r="L170" s="685"/>
      <c r="M170" s="685"/>
      <c r="N170" s="685"/>
      <c r="O170" s="413"/>
    </row>
    <row r="171" spans="2:15" ht="12.75">
      <c r="B171" s="416"/>
      <c r="C171" s="417"/>
      <c r="D171" s="417"/>
      <c r="E171" s="417"/>
      <c r="F171" s="417"/>
      <c r="G171" s="417"/>
      <c r="H171" s="417"/>
      <c r="I171" s="417"/>
      <c r="J171" s="418"/>
      <c r="K171" s="679"/>
      <c r="L171" s="679"/>
      <c r="M171" s="679"/>
      <c r="N171" s="679"/>
      <c r="O171" s="413"/>
    </row>
    <row r="172" spans="2:18" ht="12.75">
      <c r="B172" s="416"/>
      <c r="C172" s="417"/>
      <c r="D172" s="417"/>
      <c r="E172" s="417"/>
      <c r="F172" s="417"/>
      <c r="G172" s="417"/>
      <c r="H172" s="417"/>
      <c r="I172" s="417"/>
      <c r="J172" s="418"/>
      <c r="K172" s="679"/>
      <c r="L172" s="679"/>
      <c r="M172" s="679"/>
      <c r="N172" s="679"/>
      <c r="O172" s="413"/>
      <c r="P172" s="413"/>
      <c r="Q172" s="413"/>
      <c r="R172" s="413"/>
    </row>
    <row r="173" spans="2:18" ht="12.75">
      <c r="B173" s="416"/>
      <c r="C173" s="417"/>
      <c r="D173" s="417"/>
      <c r="E173" s="417"/>
      <c r="F173" s="417"/>
      <c r="G173" s="417"/>
      <c r="H173" s="417"/>
      <c r="I173" s="417"/>
      <c r="J173" s="418"/>
      <c r="K173" s="679"/>
      <c r="L173" s="679"/>
      <c r="M173" s="679"/>
      <c r="N173" s="679"/>
      <c r="O173" s="413"/>
      <c r="P173" s="413"/>
      <c r="Q173" s="413"/>
      <c r="R173" s="413"/>
    </row>
    <row r="174" spans="2:18" ht="12.75">
      <c r="B174" s="416"/>
      <c r="C174" s="417"/>
      <c r="D174" s="417"/>
      <c r="E174" s="417"/>
      <c r="F174" s="417"/>
      <c r="G174" s="417"/>
      <c r="H174" s="417"/>
      <c r="I174" s="417"/>
      <c r="J174" s="418"/>
      <c r="K174" s="679"/>
      <c r="L174" s="679"/>
      <c r="M174" s="679"/>
      <c r="N174" s="679"/>
      <c r="O174" s="413"/>
      <c r="P174" s="413"/>
      <c r="Q174" s="413"/>
      <c r="R174" s="413"/>
    </row>
    <row r="175" spans="2:18" ht="12.75">
      <c r="B175" s="416"/>
      <c r="C175" s="417"/>
      <c r="D175" s="417"/>
      <c r="E175" s="417"/>
      <c r="F175" s="417"/>
      <c r="G175" s="417"/>
      <c r="H175" s="417"/>
      <c r="I175" s="417"/>
      <c r="J175" s="418"/>
      <c r="K175" s="679"/>
      <c r="L175" s="679"/>
      <c r="M175" s="679"/>
      <c r="N175" s="679"/>
      <c r="O175" s="413"/>
      <c r="P175" s="413"/>
      <c r="Q175" s="413"/>
      <c r="R175" s="413"/>
    </row>
    <row r="176" spans="2:18" ht="12.75">
      <c r="B176" s="416"/>
      <c r="C176" s="417"/>
      <c r="D176" s="417"/>
      <c r="E176" s="417"/>
      <c r="F176" s="417"/>
      <c r="G176" s="417"/>
      <c r="H176" s="417"/>
      <c r="I176" s="417"/>
      <c r="J176" s="418"/>
      <c r="K176" s="679"/>
      <c r="L176" s="679"/>
      <c r="M176" s="679"/>
      <c r="N176" s="679"/>
      <c r="O176" s="413"/>
      <c r="P176" s="413"/>
      <c r="Q176" s="413"/>
      <c r="R176" s="413"/>
    </row>
    <row r="177" spans="2:20" ht="12.75">
      <c r="B177" s="416"/>
      <c r="C177" s="417"/>
      <c r="D177" s="417"/>
      <c r="E177" s="417"/>
      <c r="F177" s="417"/>
      <c r="G177" s="417"/>
      <c r="H177" s="417"/>
      <c r="I177" s="417"/>
      <c r="J177" s="418"/>
      <c r="K177" s="679"/>
      <c r="L177" s="679"/>
      <c r="M177" s="679"/>
      <c r="N177" s="679"/>
      <c r="O177" s="413"/>
      <c r="P177" s="681">
        <f>IF(AND(S178="",S180=""),"","Разлика м/у ТАБ-ТА и СПРАВКИТЕ ЗА КРЕДИТИ")</f>
      </c>
      <c r="Q177" s="681"/>
      <c r="R177" s="681"/>
      <c r="S177" s="681"/>
      <c r="T177" s="681"/>
    </row>
    <row r="178" spans="2:20" ht="12.75">
      <c r="B178" s="416"/>
      <c r="C178" s="417"/>
      <c r="D178" s="417"/>
      <c r="E178" s="417"/>
      <c r="F178" s="417"/>
      <c r="G178" s="417"/>
      <c r="H178" s="417"/>
      <c r="I178" s="417"/>
      <c r="J178" s="418"/>
      <c r="K178" s="679"/>
      <c r="L178" s="679"/>
      <c r="M178" s="679"/>
      <c r="N178" s="679"/>
      <c r="O178" s="413"/>
      <c r="P178" s="680">
        <f>IF(S178="","","Разлика краткосрочна част:")</f>
      </c>
      <c r="Q178" s="680"/>
      <c r="R178" s="680"/>
      <c r="S178" s="405">
        <f>IF(K181=K141,"",K181-K141)</f>
      </c>
      <c r="T178" s="406"/>
    </row>
    <row r="179" spans="2:20" ht="12.75">
      <c r="B179" s="416"/>
      <c r="C179" s="417"/>
      <c r="D179" s="417"/>
      <c r="E179" s="417"/>
      <c r="F179" s="417"/>
      <c r="G179" s="417"/>
      <c r="H179" s="417"/>
      <c r="I179" s="417"/>
      <c r="J179" s="418"/>
      <c r="K179" s="679"/>
      <c r="L179" s="679"/>
      <c r="M179" s="679"/>
      <c r="N179" s="679"/>
      <c r="O179" s="413"/>
      <c r="P179" s="678">
        <f>IF(S178="","","Сума по кредити-текущи:")</f>
      </c>
      <c r="Q179" s="678"/>
      <c r="R179" s="678"/>
      <c r="S179" s="407">
        <f>IF(K181=K141,"",K141)</f>
      </c>
      <c r="T179" s="406"/>
    </row>
    <row r="180" spans="2:20" ht="12.75">
      <c r="B180" s="416"/>
      <c r="C180" s="417"/>
      <c r="D180" s="417"/>
      <c r="E180" s="417"/>
      <c r="F180" s="417"/>
      <c r="G180" s="417"/>
      <c r="H180" s="417"/>
      <c r="I180" s="417"/>
      <c r="J180" s="418"/>
      <c r="K180" s="679"/>
      <c r="L180" s="679"/>
      <c r="M180" s="679"/>
      <c r="N180" s="679"/>
      <c r="P180" s="680">
        <f>IF(S180="","","Разлика дългосрочна част:")</f>
      </c>
      <c r="Q180" s="680"/>
      <c r="R180" s="680"/>
      <c r="S180" s="405">
        <f>IF(M181=K85,"",M181-K85)</f>
      </c>
      <c r="T180" s="406"/>
    </row>
    <row r="181" spans="2:20" ht="12.75" customHeight="1">
      <c r="B181" s="676" t="s">
        <v>231</v>
      </c>
      <c r="C181" s="676"/>
      <c r="D181" s="676"/>
      <c r="E181" s="676"/>
      <c r="F181" s="676"/>
      <c r="G181" s="676"/>
      <c r="H181" s="676"/>
      <c r="I181" s="676"/>
      <c r="J181" s="676"/>
      <c r="K181" s="677">
        <f>SUM(K171:L180)</f>
        <v>0</v>
      </c>
      <c r="L181" s="677"/>
      <c r="M181" s="677">
        <f>SUM(M171:N180)</f>
        <v>0</v>
      </c>
      <c r="N181" s="677"/>
      <c r="P181" s="678">
        <f>IF(S180="","","Сума по кредити-нетекущи:")</f>
      </c>
      <c r="Q181" s="678"/>
      <c r="R181" s="678"/>
      <c r="S181" s="407">
        <f>IF(M181=K85,"",K85)</f>
      </c>
      <c r="T181" s="406"/>
    </row>
    <row r="182" spans="16:18" ht="12.75">
      <c r="P182" s="413"/>
      <c r="Q182" s="413"/>
      <c r="R182" s="413"/>
    </row>
    <row r="183" spans="2:14" ht="14.25">
      <c r="B183" s="675" t="s">
        <v>309</v>
      </c>
      <c r="C183" s="675"/>
      <c r="D183" s="675"/>
      <c r="E183" s="675"/>
      <c r="F183" s="675"/>
      <c r="G183" s="675"/>
      <c r="H183" s="675"/>
      <c r="I183" s="675"/>
      <c r="J183" s="675"/>
      <c r="K183" s="675"/>
      <c r="L183" s="675"/>
      <c r="M183" s="419"/>
      <c r="N183" s="419"/>
    </row>
    <row r="184" spans="2:12" ht="12.75">
      <c r="B184" s="669" t="str">
        <f>CONCATENATE("Бъдещи минимални лизингови постъпления към ",НАЧАЛО!$AA$1,".",НАЧАЛО!$AB$1,".",НАЧАЛО!$AC$1," г.")</f>
        <v>Бъдещи минимални лизингови постъпления към 30.9.2010 г.</v>
      </c>
      <c r="C184" s="669"/>
      <c r="D184" s="669"/>
      <c r="E184" s="669"/>
      <c r="F184" s="669"/>
      <c r="G184" s="669"/>
      <c r="H184" s="669"/>
      <c r="I184" s="669"/>
      <c r="J184" s="669"/>
      <c r="K184" s="669"/>
      <c r="L184" s="669"/>
    </row>
    <row r="185" spans="2:12" ht="12.75">
      <c r="B185" s="673"/>
      <c r="C185" s="673"/>
      <c r="D185" s="673"/>
      <c r="E185" s="673"/>
      <c r="F185" s="673"/>
      <c r="G185" s="674" t="s">
        <v>310</v>
      </c>
      <c r="H185" s="674"/>
      <c r="I185" s="674" t="s">
        <v>311</v>
      </c>
      <c r="J185" s="674"/>
      <c r="K185" s="674" t="s">
        <v>231</v>
      </c>
      <c r="L185" s="674"/>
    </row>
    <row r="186" spans="2:12" ht="12.75">
      <c r="B186" s="670" t="s">
        <v>312</v>
      </c>
      <c r="C186" s="670"/>
      <c r="D186" s="670"/>
      <c r="E186" s="670"/>
      <c r="F186" s="670"/>
      <c r="G186" s="671"/>
      <c r="H186" s="671"/>
      <c r="I186" s="671"/>
      <c r="J186" s="671"/>
      <c r="K186" s="672">
        <f>SUM(G186:I186)</f>
        <v>0</v>
      </c>
      <c r="L186" s="672"/>
    </row>
    <row r="187" spans="2:12" ht="12.75">
      <c r="B187" s="670" t="s">
        <v>313</v>
      </c>
      <c r="C187" s="670"/>
      <c r="D187" s="670"/>
      <c r="E187" s="670"/>
      <c r="F187" s="670"/>
      <c r="G187" s="671"/>
      <c r="H187" s="671"/>
      <c r="I187" s="671"/>
      <c r="J187" s="671"/>
      <c r="K187" s="672">
        <f>SUM(G187:I187)</f>
        <v>0</v>
      </c>
      <c r="L187" s="672"/>
    </row>
    <row r="188" spans="2:12" ht="12.75">
      <c r="B188" s="666" t="s">
        <v>314</v>
      </c>
      <c r="C188" s="666"/>
      <c r="D188" s="666"/>
      <c r="E188" s="666"/>
      <c r="F188" s="666"/>
      <c r="G188" s="667">
        <f>SUM(F186:F187)</f>
        <v>0</v>
      </c>
      <c r="H188" s="667"/>
      <c r="I188" s="667">
        <f>SUM(H186:H187)</f>
        <v>0</v>
      </c>
      <c r="J188" s="667"/>
      <c r="K188" s="667">
        <f>SUM(J186:J187)</f>
        <v>0</v>
      </c>
      <c r="L188" s="667"/>
    </row>
    <row r="189" spans="2:12" ht="12.75">
      <c r="B189" s="669" t="str">
        <f>CONCATENATE("Бъдещи минимални лизингови постъпления към 31.12.",НАЧАЛО!$AC$1-1," г.")</f>
        <v>Бъдещи минимални лизингови постъпления към 31.12.2009 г.</v>
      </c>
      <c r="C189" s="669"/>
      <c r="D189" s="669"/>
      <c r="E189" s="669"/>
      <c r="F189" s="669"/>
      <c r="G189" s="669"/>
      <c r="H189" s="669"/>
      <c r="I189" s="669"/>
      <c r="J189" s="669"/>
      <c r="K189" s="669"/>
      <c r="L189" s="669"/>
    </row>
    <row r="190" spans="2:12" ht="12.75">
      <c r="B190" s="673"/>
      <c r="C190" s="673"/>
      <c r="D190" s="673"/>
      <c r="E190" s="673"/>
      <c r="F190" s="673"/>
      <c r="G190" s="674" t="s">
        <v>310</v>
      </c>
      <c r="H190" s="674"/>
      <c r="I190" s="674" t="s">
        <v>311</v>
      </c>
      <c r="J190" s="674"/>
      <c r="K190" s="674" t="s">
        <v>231</v>
      </c>
      <c r="L190" s="674"/>
    </row>
    <row r="191" spans="2:12" ht="12.75">
      <c r="B191" s="670" t="s">
        <v>312</v>
      </c>
      <c r="C191" s="670"/>
      <c r="D191" s="670"/>
      <c r="E191" s="670"/>
      <c r="F191" s="670"/>
      <c r="G191" s="671"/>
      <c r="H191" s="671"/>
      <c r="I191" s="671"/>
      <c r="J191" s="671"/>
      <c r="K191" s="672">
        <f>SUM(F191:I191)</f>
        <v>0</v>
      </c>
      <c r="L191" s="672"/>
    </row>
    <row r="192" spans="2:12" ht="12.75">
      <c r="B192" s="670" t="s">
        <v>313</v>
      </c>
      <c r="C192" s="670"/>
      <c r="D192" s="670"/>
      <c r="E192" s="670"/>
      <c r="F192" s="670"/>
      <c r="G192" s="671"/>
      <c r="H192" s="671"/>
      <c r="I192" s="671"/>
      <c r="J192" s="671"/>
      <c r="K192" s="672">
        <f>SUM(F192:I192)</f>
        <v>0</v>
      </c>
      <c r="L192" s="672"/>
    </row>
    <row r="193" spans="2:12" ht="12.75">
      <c r="B193" s="666" t="s">
        <v>314</v>
      </c>
      <c r="C193" s="666"/>
      <c r="D193" s="666"/>
      <c r="E193" s="666"/>
      <c r="F193" s="666"/>
      <c r="G193" s="667">
        <f>SUM(G191:G192)</f>
        <v>0</v>
      </c>
      <c r="H193" s="667"/>
      <c r="I193" s="667">
        <f>SUM(I191:I192)</f>
        <v>0</v>
      </c>
      <c r="J193" s="667"/>
      <c r="K193" s="667">
        <f>SUM(K191:K192)</f>
        <v>0</v>
      </c>
      <c r="L193" s="667"/>
    </row>
    <row r="194" spans="2:12" ht="14.25">
      <c r="B194" s="668" t="s">
        <v>315</v>
      </c>
      <c r="C194" s="668"/>
      <c r="D194" s="668"/>
      <c r="E194" s="668"/>
      <c r="F194" s="668"/>
      <c r="G194" s="668"/>
      <c r="H194" s="668"/>
      <c r="I194" s="668"/>
      <c r="J194" s="668"/>
      <c r="K194" s="668"/>
      <c r="L194" s="668"/>
    </row>
    <row r="195" spans="2:12" ht="12.75">
      <c r="B195" s="669" t="str">
        <f>B184</f>
        <v>Бъдещи минимални лизингови постъпления към 30.9.2010 г.</v>
      </c>
      <c r="C195" s="669"/>
      <c r="D195" s="669"/>
      <c r="E195" s="669"/>
      <c r="F195" s="669"/>
      <c r="G195" s="669"/>
      <c r="H195" s="669"/>
      <c r="I195" s="669"/>
      <c r="J195" s="669"/>
      <c r="K195" s="669"/>
      <c r="L195" s="669"/>
    </row>
    <row r="196" spans="2:12" ht="12.75">
      <c r="B196" s="670" t="s">
        <v>312</v>
      </c>
      <c r="C196" s="670"/>
      <c r="D196" s="670"/>
      <c r="E196" s="670"/>
      <c r="F196" s="670"/>
      <c r="G196" s="671"/>
      <c r="H196" s="671"/>
      <c r="I196" s="671"/>
      <c r="J196" s="671"/>
      <c r="K196" s="672">
        <f>SUM(F196:I196)</f>
        <v>0</v>
      </c>
      <c r="L196" s="672"/>
    </row>
    <row r="197" spans="2:12" ht="12.75">
      <c r="B197" s="666" t="s">
        <v>231</v>
      </c>
      <c r="C197" s="666"/>
      <c r="D197" s="666"/>
      <c r="E197" s="666"/>
      <c r="F197" s="666"/>
      <c r="G197" s="667">
        <f>SUM(G196)</f>
        <v>0</v>
      </c>
      <c r="H197" s="667"/>
      <c r="I197" s="667">
        <f>SUM(I196)</f>
        <v>0</v>
      </c>
      <c r="J197" s="667"/>
      <c r="K197" s="667">
        <f>SUM(K196)</f>
        <v>0</v>
      </c>
      <c r="L197" s="667"/>
    </row>
  </sheetData>
  <mergeCells count="781">
    <mergeCell ref="B1:N1"/>
    <mergeCell ref="B2:J3"/>
    <mergeCell ref="K2:L3"/>
    <mergeCell ref="M2:N3"/>
    <mergeCell ref="B4:J4"/>
    <mergeCell ref="K4:L4"/>
    <mergeCell ref="M4:N4"/>
    <mergeCell ref="B5:J5"/>
    <mergeCell ref="K5:L5"/>
    <mergeCell ref="M5:N5"/>
    <mergeCell ref="P5:T5"/>
    <mergeCell ref="B6:J6"/>
    <mergeCell ref="K6:L6"/>
    <mergeCell ref="M6:N6"/>
    <mergeCell ref="P6:R6"/>
    <mergeCell ref="B7:J7"/>
    <mergeCell ref="K7:L7"/>
    <mergeCell ref="M7:N7"/>
    <mergeCell ref="P7:R7"/>
    <mergeCell ref="B8:J8"/>
    <mergeCell ref="K8:L8"/>
    <mergeCell ref="M8:N8"/>
    <mergeCell ref="P8:R8"/>
    <mergeCell ref="B9:J9"/>
    <mergeCell ref="K9:L9"/>
    <mergeCell ref="M9:N9"/>
    <mergeCell ref="P9:R9"/>
    <mergeCell ref="B10:N10"/>
    <mergeCell ref="B11:F12"/>
    <mergeCell ref="G11:J11"/>
    <mergeCell ref="K11:N11"/>
    <mergeCell ref="G12:H12"/>
    <mergeCell ref="I12:J12"/>
    <mergeCell ref="K12:L12"/>
    <mergeCell ref="M12:N12"/>
    <mergeCell ref="M13:N13"/>
    <mergeCell ref="B14:F14"/>
    <mergeCell ref="G14:H14"/>
    <mergeCell ref="I14:J14"/>
    <mergeCell ref="K14:L14"/>
    <mergeCell ref="M14:N14"/>
    <mergeCell ref="B13:F13"/>
    <mergeCell ref="G13:H13"/>
    <mergeCell ref="I13:J13"/>
    <mergeCell ref="K13:L13"/>
    <mergeCell ref="M15:N15"/>
    <mergeCell ref="B16:F16"/>
    <mergeCell ref="G16:H16"/>
    <mergeCell ref="I16:J16"/>
    <mergeCell ref="K16:L16"/>
    <mergeCell ref="M16:N16"/>
    <mergeCell ref="B15:F15"/>
    <mergeCell ref="G15:H15"/>
    <mergeCell ref="I15:J15"/>
    <mergeCell ref="K15:L15"/>
    <mergeCell ref="M17:N17"/>
    <mergeCell ref="B18:F18"/>
    <mergeCell ref="G18:H18"/>
    <mergeCell ref="I18:J18"/>
    <mergeCell ref="K18:L18"/>
    <mergeCell ref="M18:N18"/>
    <mergeCell ref="B17:F17"/>
    <mergeCell ref="G17:H17"/>
    <mergeCell ref="I17:J17"/>
    <mergeCell ref="K17:L17"/>
    <mergeCell ref="B19:F19"/>
    <mergeCell ref="G19:H19"/>
    <mergeCell ref="I19:J19"/>
    <mergeCell ref="K19:L19"/>
    <mergeCell ref="M21:N21"/>
    <mergeCell ref="P21:R21"/>
    <mergeCell ref="B20:F20"/>
    <mergeCell ref="G20:H20"/>
    <mergeCell ref="I20:J20"/>
    <mergeCell ref="K20:L20"/>
    <mergeCell ref="M19:N19"/>
    <mergeCell ref="P19:T19"/>
    <mergeCell ref="M20:N20"/>
    <mergeCell ref="P20:R20"/>
    <mergeCell ref="M22:N22"/>
    <mergeCell ref="P22:R22"/>
    <mergeCell ref="B21:F21"/>
    <mergeCell ref="G21:H21"/>
    <mergeCell ref="B22:F22"/>
    <mergeCell ref="G22:H22"/>
    <mergeCell ref="I22:J22"/>
    <mergeCell ref="K22:L22"/>
    <mergeCell ref="I21:J21"/>
    <mergeCell ref="K21:L21"/>
    <mergeCell ref="B23:F23"/>
    <mergeCell ref="G23:H23"/>
    <mergeCell ref="I23:J23"/>
    <mergeCell ref="K23:L23"/>
    <mergeCell ref="M23:N23"/>
    <mergeCell ref="P23:R23"/>
    <mergeCell ref="B24:N24"/>
    <mergeCell ref="B25:F26"/>
    <mergeCell ref="G25:J25"/>
    <mergeCell ref="K25:N25"/>
    <mergeCell ref="G26:H26"/>
    <mergeCell ref="I26:J26"/>
    <mergeCell ref="K26:L26"/>
    <mergeCell ref="M26:N26"/>
    <mergeCell ref="M27:N27"/>
    <mergeCell ref="B28:F28"/>
    <mergeCell ref="G28:H28"/>
    <mergeCell ref="I28:J28"/>
    <mergeCell ref="K28:L28"/>
    <mergeCell ref="M28:N28"/>
    <mergeCell ref="B27:F27"/>
    <mergeCell ref="G27:H27"/>
    <mergeCell ref="I27:J27"/>
    <mergeCell ref="K27:L27"/>
    <mergeCell ref="M29:N29"/>
    <mergeCell ref="B30:F30"/>
    <mergeCell ref="G30:H30"/>
    <mergeCell ref="I30:J30"/>
    <mergeCell ref="K30:L30"/>
    <mergeCell ref="M30:N30"/>
    <mergeCell ref="B29:F29"/>
    <mergeCell ref="G29:H29"/>
    <mergeCell ref="I29:J29"/>
    <mergeCell ref="K29:L29"/>
    <mergeCell ref="M31:N31"/>
    <mergeCell ref="B32:F32"/>
    <mergeCell ref="G32:H32"/>
    <mergeCell ref="I32:J32"/>
    <mergeCell ref="K32:L32"/>
    <mergeCell ref="M32:N32"/>
    <mergeCell ref="B31:F31"/>
    <mergeCell ref="G31:H31"/>
    <mergeCell ref="I31:J31"/>
    <mergeCell ref="K31:L31"/>
    <mergeCell ref="M33:N33"/>
    <mergeCell ref="B34:F34"/>
    <mergeCell ref="G34:H34"/>
    <mergeCell ref="I34:J34"/>
    <mergeCell ref="K34:L34"/>
    <mergeCell ref="M34:N34"/>
    <mergeCell ref="B33:F33"/>
    <mergeCell ref="G33:H33"/>
    <mergeCell ref="I33:J33"/>
    <mergeCell ref="K33:L33"/>
    <mergeCell ref="B35:F35"/>
    <mergeCell ref="G35:H35"/>
    <mergeCell ref="I35:J35"/>
    <mergeCell ref="K35:L35"/>
    <mergeCell ref="B36:F36"/>
    <mergeCell ref="G36:H36"/>
    <mergeCell ref="I36:J36"/>
    <mergeCell ref="K36:L36"/>
    <mergeCell ref="G37:H37"/>
    <mergeCell ref="I37:J37"/>
    <mergeCell ref="K37:L37"/>
    <mergeCell ref="M35:N35"/>
    <mergeCell ref="M36:N36"/>
    <mergeCell ref="M37:N37"/>
    <mergeCell ref="B38:N38"/>
    <mergeCell ref="B39:F40"/>
    <mergeCell ref="G39:J39"/>
    <mergeCell ref="K39:N39"/>
    <mergeCell ref="G40:H40"/>
    <mergeCell ref="I40:J40"/>
    <mergeCell ref="K40:L40"/>
    <mergeCell ref="M40:N40"/>
    <mergeCell ref="B37:F37"/>
    <mergeCell ref="M41:N41"/>
    <mergeCell ref="B42:F42"/>
    <mergeCell ref="G42:H42"/>
    <mergeCell ref="I42:J42"/>
    <mergeCell ref="K42:L42"/>
    <mergeCell ref="M42:N42"/>
    <mergeCell ref="B41:F41"/>
    <mergeCell ref="G41:H41"/>
    <mergeCell ref="I41:J41"/>
    <mergeCell ref="K41:L41"/>
    <mergeCell ref="M43:N43"/>
    <mergeCell ref="B44:F44"/>
    <mergeCell ref="G44:H44"/>
    <mergeCell ref="I44:J44"/>
    <mergeCell ref="K44:L44"/>
    <mergeCell ref="M44:N44"/>
    <mergeCell ref="B43:F43"/>
    <mergeCell ref="G43:H43"/>
    <mergeCell ref="I43:J43"/>
    <mergeCell ref="K43:L43"/>
    <mergeCell ref="M45:N45"/>
    <mergeCell ref="B46:F46"/>
    <mergeCell ref="G46:H46"/>
    <mergeCell ref="I46:J46"/>
    <mergeCell ref="K46:L46"/>
    <mergeCell ref="M46:N46"/>
    <mergeCell ref="B45:F45"/>
    <mergeCell ref="G45:H45"/>
    <mergeCell ref="I45:J45"/>
    <mergeCell ref="K45:L45"/>
    <mergeCell ref="M47:N47"/>
    <mergeCell ref="B48:F48"/>
    <mergeCell ref="G48:H48"/>
    <mergeCell ref="I48:J48"/>
    <mergeCell ref="K48:L48"/>
    <mergeCell ref="M48:N48"/>
    <mergeCell ref="B47:F47"/>
    <mergeCell ref="G47:H47"/>
    <mergeCell ref="I47:J47"/>
    <mergeCell ref="K47:L47"/>
    <mergeCell ref="M49:N49"/>
    <mergeCell ref="B50:F50"/>
    <mergeCell ref="G50:H50"/>
    <mergeCell ref="I50:J50"/>
    <mergeCell ref="K50:L50"/>
    <mergeCell ref="M50:N50"/>
    <mergeCell ref="B49:F49"/>
    <mergeCell ref="G49:H49"/>
    <mergeCell ref="I49:J49"/>
    <mergeCell ref="K49:L49"/>
    <mergeCell ref="K54:L54"/>
    <mergeCell ref="M54:N54"/>
    <mergeCell ref="B51:F51"/>
    <mergeCell ref="G51:H51"/>
    <mergeCell ref="I51:J51"/>
    <mergeCell ref="K51:L51"/>
    <mergeCell ref="G55:H55"/>
    <mergeCell ref="I55:J55"/>
    <mergeCell ref="M51:N51"/>
    <mergeCell ref="B52:N52"/>
    <mergeCell ref="B53:C54"/>
    <mergeCell ref="D53:F54"/>
    <mergeCell ref="G53:J53"/>
    <mergeCell ref="K53:N53"/>
    <mergeCell ref="G54:H54"/>
    <mergeCell ref="I54:J54"/>
    <mergeCell ref="K55:L55"/>
    <mergeCell ref="M55:N55"/>
    <mergeCell ref="B56:C56"/>
    <mergeCell ref="D56:F56"/>
    <mergeCell ref="G56:H56"/>
    <mergeCell ref="I56:J56"/>
    <mergeCell ref="K56:L56"/>
    <mergeCell ref="M56:N56"/>
    <mergeCell ref="B55:C55"/>
    <mergeCell ref="D55:F55"/>
    <mergeCell ref="B57:C57"/>
    <mergeCell ref="D57:F57"/>
    <mergeCell ref="G57:H57"/>
    <mergeCell ref="I57:J57"/>
    <mergeCell ref="K59:L59"/>
    <mergeCell ref="M59:N59"/>
    <mergeCell ref="B58:C58"/>
    <mergeCell ref="D58:F58"/>
    <mergeCell ref="G58:H58"/>
    <mergeCell ref="I58:J58"/>
    <mergeCell ref="K57:L57"/>
    <mergeCell ref="M57:N57"/>
    <mergeCell ref="K58:L58"/>
    <mergeCell ref="M58:N58"/>
    <mergeCell ref="K60:L60"/>
    <mergeCell ref="M60:N60"/>
    <mergeCell ref="B59:C59"/>
    <mergeCell ref="D59:F59"/>
    <mergeCell ref="B60:C60"/>
    <mergeCell ref="D60:F60"/>
    <mergeCell ref="G60:H60"/>
    <mergeCell ref="I60:J60"/>
    <mergeCell ref="G59:H59"/>
    <mergeCell ref="I59:J59"/>
    <mergeCell ref="B61:C61"/>
    <mergeCell ref="D61:F61"/>
    <mergeCell ref="G61:H61"/>
    <mergeCell ref="I61:J61"/>
    <mergeCell ref="K61:L61"/>
    <mergeCell ref="M61:N61"/>
    <mergeCell ref="P61:T61"/>
    <mergeCell ref="B62:C62"/>
    <mergeCell ref="D62:F62"/>
    <mergeCell ref="G62:H62"/>
    <mergeCell ref="I62:J62"/>
    <mergeCell ref="K62:L62"/>
    <mergeCell ref="M62:N62"/>
    <mergeCell ref="P62:R62"/>
    <mergeCell ref="B63:C63"/>
    <mergeCell ref="D63:F63"/>
    <mergeCell ref="G63:H63"/>
    <mergeCell ref="I63:J63"/>
    <mergeCell ref="K63:L63"/>
    <mergeCell ref="M63:N63"/>
    <mergeCell ref="P63:R63"/>
    <mergeCell ref="B64:C64"/>
    <mergeCell ref="D64:F64"/>
    <mergeCell ref="G64:H64"/>
    <mergeCell ref="I64:J64"/>
    <mergeCell ref="K64:L64"/>
    <mergeCell ref="M64:N64"/>
    <mergeCell ref="P64:R64"/>
    <mergeCell ref="B65:F65"/>
    <mergeCell ref="G65:H65"/>
    <mergeCell ref="I65:J65"/>
    <mergeCell ref="K65:L65"/>
    <mergeCell ref="K70:L70"/>
    <mergeCell ref="M70:N70"/>
    <mergeCell ref="M65:N65"/>
    <mergeCell ref="P65:R65"/>
    <mergeCell ref="B66:N66"/>
    <mergeCell ref="B67:C68"/>
    <mergeCell ref="D67:F68"/>
    <mergeCell ref="G67:J67"/>
    <mergeCell ref="K67:N67"/>
    <mergeCell ref="G68:H68"/>
    <mergeCell ref="M68:N68"/>
    <mergeCell ref="B69:C69"/>
    <mergeCell ref="D69:F69"/>
    <mergeCell ref="G69:H69"/>
    <mergeCell ref="I69:J69"/>
    <mergeCell ref="K69:L69"/>
    <mergeCell ref="M69:N69"/>
    <mergeCell ref="I68:J68"/>
    <mergeCell ref="K68:L68"/>
    <mergeCell ref="K71:L71"/>
    <mergeCell ref="M71:N71"/>
    <mergeCell ref="B70:C70"/>
    <mergeCell ref="D70:F70"/>
    <mergeCell ref="G70:H70"/>
    <mergeCell ref="B71:C71"/>
    <mergeCell ref="D71:F71"/>
    <mergeCell ref="G71:H71"/>
    <mergeCell ref="I71:J71"/>
    <mergeCell ref="I70:J70"/>
    <mergeCell ref="B72:C72"/>
    <mergeCell ref="D72:F72"/>
    <mergeCell ref="B73:C73"/>
    <mergeCell ref="D73:F73"/>
    <mergeCell ref="G74:H74"/>
    <mergeCell ref="I74:J74"/>
    <mergeCell ref="B74:C74"/>
    <mergeCell ref="D74:F74"/>
    <mergeCell ref="K74:L74"/>
    <mergeCell ref="M74:N74"/>
    <mergeCell ref="G72:H72"/>
    <mergeCell ref="I72:J72"/>
    <mergeCell ref="K72:L72"/>
    <mergeCell ref="M72:N72"/>
    <mergeCell ref="K73:L73"/>
    <mergeCell ref="M73:N73"/>
    <mergeCell ref="G73:H73"/>
    <mergeCell ref="I73:J73"/>
    <mergeCell ref="P75:T75"/>
    <mergeCell ref="B76:C76"/>
    <mergeCell ref="D76:F76"/>
    <mergeCell ref="G76:H76"/>
    <mergeCell ref="I76:J76"/>
    <mergeCell ref="K76:L76"/>
    <mergeCell ref="M76:N76"/>
    <mergeCell ref="P76:R76"/>
    <mergeCell ref="G75:H75"/>
    <mergeCell ref="I75:J75"/>
    <mergeCell ref="K75:L75"/>
    <mergeCell ref="M75:N75"/>
    <mergeCell ref="B77:C77"/>
    <mergeCell ref="D77:F77"/>
    <mergeCell ref="G77:H77"/>
    <mergeCell ref="I77:J77"/>
    <mergeCell ref="K77:L77"/>
    <mergeCell ref="M77:N77"/>
    <mergeCell ref="B75:C75"/>
    <mergeCell ref="D75:F75"/>
    <mergeCell ref="P77:R77"/>
    <mergeCell ref="B78:C78"/>
    <mergeCell ref="D78:F78"/>
    <mergeCell ref="G78:H78"/>
    <mergeCell ref="I78:J78"/>
    <mergeCell ref="K78:L78"/>
    <mergeCell ref="M78:N78"/>
    <mergeCell ref="P78:R78"/>
    <mergeCell ref="M79:N79"/>
    <mergeCell ref="P79:R79"/>
    <mergeCell ref="B80:N80"/>
    <mergeCell ref="B81:J81"/>
    <mergeCell ref="K81:L81"/>
    <mergeCell ref="M81:N81"/>
    <mergeCell ref="B79:F79"/>
    <mergeCell ref="G79:H79"/>
    <mergeCell ref="I79:J79"/>
    <mergeCell ref="K79:L79"/>
    <mergeCell ref="B82:J82"/>
    <mergeCell ref="K82:L82"/>
    <mergeCell ref="M82:N82"/>
    <mergeCell ref="B83:J83"/>
    <mergeCell ref="K83:L83"/>
    <mergeCell ref="M83:N83"/>
    <mergeCell ref="B84:J84"/>
    <mergeCell ref="K84:L84"/>
    <mergeCell ref="M84:N84"/>
    <mergeCell ref="P84:T84"/>
    <mergeCell ref="B85:J85"/>
    <mergeCell ref="K85:L85"/>
    <mergeCell ref="M85:N85"/>
    <mergeCell ref="P85:R85"/>
    <mergeCell ref="B86:J86"/>
    <mergeCell ref="K86:L86"/>
    <mergeCell ref="M86:N86"/>
    <mergeCell ref="P86:R86"/>
    <mergeCell ref="B87:J87"/>
    <mergeCell ref="K87:L87"/>
    <mergeCell ref="M87:N87"/>
    <mergeCell ref="P87:R87"/>
    <mergeCell ref="B88:J88"/>
    <mergeCell ref="K88:L88"/>
    <mergeCell ref="M88:N88"/>
    <mergeCell ref="P88:R88"/>
    <mergeCell ref="B89:N89"/>
    <mergeCell ref="B90:J90"/>
    <mergeCell ref="K90:L90"/>
    <mergeCell ref="M90:N90"/>
    <mergeCell ref="B91:J91"/>
    <mergeCell ref="K91:L91"/>
    <mergeCell ref="M91:N91"/>
    <mergeCell ref="B92:J92"/>
    <mergeCell ref="K92:L92"/>
    <mergeCell ref="M92:N92"/>
    <mergeCell ref="B93:J93"/>
    <mergeCell ref="K93:L93"/>
    <mergeCell ref="M93:N93"/>
    <mergeCell ref="P93:T93"/>
    <mergeCell ref="B94:J94"/>
    <mergeCell ref="K94:L94"/>
    <mergeCell ref="M94:N94"/>
    <mergeCell ref="P94:R94"/>
    <mergeCell ref="B95:J95"/>
    <mergeCell ref="K95:L95"/>
    <mergeCell ref="M95:N95"/>
    <mergeCell ref="P95:R95"/>
    <mergeCell ref="B96:J96"/>
    <mergeCell ref="K96:L96"/>
    <mergeCell ref="M96:N96"/>
    <mergeCell ref="P96:R96"/>
    <mergeCell ref="B97:J97"/>
    <mergeCell ref="K97:L97"/>
    <mergeCell ref="M97:N97"/>
    <mergeCell ref="P97:R97"/>
    <mergeCell ref="B100:N100"/>
    <mergeCell ref="B101:J102"/>
    <mergeCell ref="K101:L102"/>
    <mergeCell ref="M101:N102"/>
    <mergeCell ref="B103:J103"/>
    <mergeCell ref="K103:L103"/>
    <mergeCell ref="M103:N103"/>
    <mergeCell ref="P103:T103"/>
    <mergeCell ref="B104:J104"/>
    <mergeCell ref="K104:L104"/>
    <mergeCell ref="M104:N104"/>
    <mergeCell ref="P104:R104"/>
    <mergeCell ref="B105:J105"/>
    <mergeCell ref="K105:L105"/>
    <mergeCell ref="M105:N105"/>
    <mergeCell ref="P105:R105"/>
    <mergeCell ref="P107:R107"/>
    <mergeCell ref="B106:J106"/>
    <mergeCell ref="K106:L106"/>
    <mergeCell ref="M106:N106"/>
    <mergeCell ref="P106:R106"/>
    <mergeCell ref="M110:N110"/>
    <mergeCell ref="B107:J107"/>
    <mergeCell ref="K107:L107"/>
    <mergeCell ref="M107:N107"/>
    <mergeCell ref="G111:H111"/>
    <mergeCell ref="I111:J111"/>
    <mergeCell ref="B108:N108"/>
    <mergeCell ref="B109:C110"/>
    <mergeCell ref="D109:F110"/>
    <mergeCell ref="G109:J109"/>
    <mergeCell ref="K109:N109"/>
    <mergeCell ref="G110:H110"/>
    <mergeCell ref="I110:J110"/>
    <mergeCell ref="K110:L110"/>
    <mergeCell ref="K111:L111"/>
    <mergeCell ref="M111:N111"/>
    <mergeCell ref="B112:C112"/>
    <mergeCell ref="D112:F112"/>
    <mergeCell ref="G112:H112"/>
    <mergeCell ref="I112:J112"/>
    <mergeCell ref="K112:L112"/>
    <mergeCell ref="M112:N112"/>
    <mergeCell ref="B111:C111"/>
    <mergeCell ref="D111:F111"/>
    <mergeCell ref="B113:C113"/>
    <mergeCell ref="D113:F113"/>
    <mergeCell ref="G113:H113"/>
    <mergeCell ref="I113:J113"/>
    <mergeCell ref="K115:L115"/>
    <mergeCell ref="M115:N115"/>
    <mergeCell ref="B114:C114"/>
    <mergeCell ref="D114:F114"/>
    <mergeCell ref="G114:H114"/>
    <mergeCell ref="I114:J114"/>
    <mergeCell ref="K113:L113"/>
    <mergeCell ref="M113:N113"/>
    <mergeCell ref="K114:L114"/>
    <mergeCell ref="M114:N114"/>
    <mergeCell ref="K116:L116"/>
    <mergeCell ref="M116:N116"/>
    <mergeCell ref="B115:C115"/>
    <mergeCell ref="D115:F115"/>
    <mergeCell ref="B116:C116"/>
    <mergeCell ref="D116:F116"/>
    <mergeCell ref="G116:H116"/>
    <mergeCell ref="I116:J116"/>
    <mergeCell ref="G115:H115"/>
    <mergeCell ref="I115:J115"/>
    <mergeCell ref="B117:C117"/>
    <mergeCell ref="D117:F117"/>
    <mergeCell ref="G117:H117"/>
    <mergeCell ref="I117:J117"/>
    <mergeCell ref="K117:L117"/>
    <mergeCell ref="M117:N117"/>
    <mergeCell ref="P117:T117"/>
    <mergeCell ref="B118:C118"/>
    <mergeCell ref="D118:F118"/>
    <mergeCell ref="G118:H118"/>
    <mergeCell ref="I118:J118"/>
    <mergeCell ref="K118:L118"/>
    <mergeCell ref="M118:N118"/>
    <mergeCell ref="P118:R118"/>
    <mergeCell ref="B119:C119"/>
    <mergeCell ref="D119:F119"/>
    <mergeCell ref="G119:H119"/>
    <mergeCell ref="I119:J119"/>
    <mergeCell ref="K119:L119"/>
    <mergeCell ref="M119:N119"/>
    <mergeCell ref="P119:R119"/>
    <mergeCell ref="B120:C120"/>
    <mergeCell ref="D120:F120"/>
    <mergeCell ref="G120:H120"/>
    <mergeCell ref="I120:J120"/>
    <mergeCell ref="K120:L120"/>
    <mergeCell ref="M120:N120"/>
    <mergeCell ref="P120:R120"/>
    <mergeCell ref="B121:F121"/>
    <mergeCell ref="G121:H121"/>
    <mergeCell ref="I121:J121"/>
    <mergeCell ref="K121:L121"/>
    <mergeCell ref="K126:L126"/>
    <mergeCell ref="M126:N126"/>
    <mergeCell ref="M121:N121"/>
    <mergeCell ref="P121:R121"/>
    <mergeCell ref="B122:N122"/>
    <mergeCell ref="B123:C124"/>
    <mergeCell ref="D123:F124"/>
    <mergeCell ref="G123:J123"/>
    <mergeCell ref="K123:N123"/>
    <mergeCell ref="G124:H124"/>
    <mergeCell ref="M124:N124"/>
    <mergeCell ref="B125:C125"/>
    <mergeCell ref="D125:F125"/>
    <mergeCell ref="G125:H125"/>
    <mergeCell ref="I125:J125"/>
    <mergeCell ref="K125:L125"/>
    <mergeCell ref="M125:N125"/>
    <mergeCell ref="I124:J124"/>
    <mergeCell ref="K124:L124"/>
    <mergeCell ref="K127:L127"/>
    <mergeCell ref="M127:N127"/>
    <mergeCell ref="B126:C126"/>
    <mergeCell ref="D126:F126"/>
    <mergeCell ref="G126:H126"/>
    <mergeCell ref="B127:C127"/>
    <mergeCell ref="D127:F127"/>
    <mergeCell ref="G127:H127"/>
    <mergeCell ref="I127:J127"/>
    <mergeCell ref="I126:J126"/>
    <mergeCell ref="B128:C128"/>
    <mergeCell ref="D128:F128"/>
    <mergeCell ref="B129:C129"/>
    <mergeCell ref="D129:F129"/>
    <mergeCell ref="G130:H130"/>
    <mergeCell ref="I130:J130"/>
    <mergeCell ref="B130:C130"/>
    <mergeCell ref="D130:F130"/>
    <mergeCell ref="K130:L130"/>
    <mergeCell ref="M130:N130"/>
    <mergeCell ref="G128:H128"/>
    <mergeCell ref="I128:J128"/>
    <mergeCell ref="K128:L128"/>
    <mergeCell ref="M128:N128"/>
    <mergeCell ref="K129:L129"/>
    <mergeCell ref="M129:N129"/>
    <mergeCell ref="G129:H129"/>
    <mergeCell ref="I129:J129"/>
    <mergeCell ref="P131:T131"/>
    <mergeCell ref="B132:C132"/>
    <mergeCell ref="D132:F132"/>
    <mergeCell ref="G132:H132"/>
    <mergeCell ref="I132:J132"/>
    <mergeCell ref="K132:L132"/>
    <mergeCell ref="M132:N132"/>
    <mergeCell ref="P132:R132"/>
    <mergeCell ref="G131:H131"/>
    <mergeCell ref="I131:J131"/>
    <mergeCell ref="K131:L131"/>
    <mergeCell ref="M131:N131"/>
    <mergeCell ref="B133:C133"/>
    <mergeCell ref="D133:F133"/>
    <mergeCell ref="G133:H133"/>
    <mergeCell ref="I133:J133"/>
    <mergeCell ref="K133:L133"/>
    <mergeCell ref="M133:N133"/>
    <mergeCell ref="B131:C131"/>
    <mergeCell ref="D131:F131"/>
    <mergeCell ref="P133:R133"/>
    <mergeCell ref="B134:C134"/>
    <mergeCell ref="D134:F134"/>
    <mergeCell ref="G134:H134"/>
    <mergeCell ref="I134:J134"/>
    <mergeCell ref="K134:L134"/>
    <mergeCell ref="M134:N134"/>
    <mergeCell ref="P134:R134"/>
    <mergeCell ref="M135:N135"/>
    <mergeCell ref="P135:R135"/>
    <mergeCell ref="B136:N136"/>
    <mergeCell ref="B137:J137"/>
    <mergeCell ref="K137:L137"/>
    <mergeCell ref="M137:N137"/>
    <mergeCell ref="B135:F135"/>
    <mergeCell ref="G135:H135"/>
    <mergeCell ref="I135:J135"/>
    <mergeCell ref="K135:L135"/>
    <mergeCell ref="B138:J138"/>
    <mergeCell ref="K138:L138"/>
    <mergeCell ref="M138:N138"/>
    <mergeCell ref="B139:J139"/>
    <mergeCell ref="K139:L139"/>
    <mergeCell ref="M139:N139"/>
    <mergeCell ref="B140:J140"/>
    <mergeCell ref="K140:L140"/>
    <mergeCell ref="M140:N140"/>
    <mergeCell ref="P140:T140"/>
    <mergeCell ref="B141:J141"/>
    <mergeCell ref="K141:L141"/>
    <mergeCell ref="M141:N141"/>
    <mergeCell ref="P141:R141"/>
    <mergeCell ref="B142:J142"/>
    <mergeCell ref="K142:L142"/>
    <mergeCell ref="M142:N142"/>
    <mergeCell ref="P142:R142"/>
    <mergeCell ref="B143:J143"/>
    <mergeCell ref="K143:L143"/>
    <mergeCell ref="M143:N143"/>
    <mergeCell ref="P143:R143"/>
    <mergeCell ref="B144:J144"/>
    <mergeCell ref="K144:L144"/>
    <mergeCell ref="M144:N144"/>
    <mergeCell ref="P144:R144"/>
    <mergeCell ref="B145:N145"/>
    <mergeCell ref="B146:J146"/>
    <mergeCell ref="K146:L146"/>
    <mergeCell ref="M146:N146"/>
    <mergeCell ref="B147:J147"/>
    <mergeCell ref="K147:L147"/>
    <mergeCell ref="M147:N147"/>
    <mergeCell ref="B148:J148"/>
    <mergeCell ref="K148:L148"/>
    <mergeCell ref="M148:N148"/>
    <mergeCell ref="B149:J149"/>
    <mergeCell ref="K149:L149"/>
    <mergeCell ref="M149:N149"/>
    <mergeCell ref="P149:T149"/>
    <mergeCell ref="B150:J150"/>
    <mergeCell ref="K150:L150"/>
    <mergeCell ref="M150:N150"/>
    <mergeCell ref="P150:R150"/>
    <mergeCell ref="B151:J151"/>
    <mergeCell ref="K151:L151"/>
    <mergeCell ref="M151:N151"/>
    <mergeCell ref="P151:R151"/>
    <mergeCell ref="B152:J152"/>
    <mergeCell ref="K152:L152"/>
    <mergeCell ref="M152:N152"/>
    <mergeCell ref="P152:R152"/>
    <mergeCell ref="B153:J153"/>
    <mergeCell ref="K153:L153"/>
    <mergeCell ref="M153:N153"/>
    <mergeCell ref="P153:R153"/>
    <mergeCell ref="B156:N156"/>
    <mergeCell ref="B157:F157"/>
    <mergeCell ref="J157:N157"/>
    <mergeCell ref="B158:F158"/>
    <mergeCell ref="J158:N158"/>
    <mergeCell ref="B159:F159"/>
    <mergeCell ref="J159:N159"/>
    <mergeCell ref="B160:F160"/>
    <mergeCell ref="J160:N160"/>
    <mergeCell ref="B161:F161"/>
    <mergeCell ref="J161:N161"/>
    <mergeCell ref="B162:F162"/>
    <mergeCell ref="J162:N162"/>
    <mergeCell ref="B163:F163"/>
    <mergeCell ref="J163:N163"/>
    <mergeCell ref="B164:F164"/>
    <mergeCell ref="J164:N164"/>
    <mergeCell ref="B165:F165"/>
    <mergeCell ref="J165:N165"/>
    <mergeCell ref="B166:F166"/>
    <mergeCell ref="J166:N166"/>
    <mergeCell ref="B167:F167"/>
    <mergeCell ref="J167:N167"/>
    <mergeCell ref="B168:N168"/>
    <mergeCell ref="B169:J170"/>
    <mergeCell ref="K169:L170"/>
    <mergeCell ref="M169:N170"/>
    <mergeCell ref="K171:L171"/>
    <mergeCell ref="M171:N171"/>
    <mergeCell ref="K172:L172"/>
    <mergeCell ref="M172:N172"/>
    <mergeCell ref="K173:L173"/>
    <mergeCell ref="M173:N173"/>
    <mergeCell ref="K174:L174"/>
    <mergeCell ref="M174:N174"/>
    <mergeCell ref="K175:L175"/>
    <mergeCell ref="M175:N175"/>
    <mergeCell ref="K176:L176"/>
    <mergeCell ref="M176:N176"/>
    <mergeCell ref="K177:L177"/>
    <mergeCell ref="M177:N177"/>
    <mergeCell ref="P177:T177"/>
    <mergeCell ref="K178:L178"/>
    <mergeCell ref="M178:N178"/>
    <mergeCell ref="P178:R178"/>
    <mergeCell ref="K179:L179"/>
    <mergeCell ref="M179:N179"/>
    <mergeCell ref="P179:R179"/>
    <mergeCell ref="K180:L180"/>
    <mergeCell ref="M180:N180"/>
    <mergeCell ref="P180:R180"/>
    <mergeCell ref="B181:J181"/>
    <mergeCell ref="K181:L181"/>
    <mergeCell ref="M181:N181"/>
    <mergeCell ref="P181:R181"/>
    <mergeCell ref="B183:L183"/>
    <mergeCell ref="B184:L184"/>
    <mergeCell ref="B185:F185"/>
    <mergeCell ref="G185:H185"/>
    <mergeCell ref="I185:J185"/>
    <mergeCell ref="K185:L185"/>
    <mergeCell ref="B186:F186"/>
    <mergeCell ref="G186:H186"/>
    <mergeCell ref="I186:J186"/>
    <mergeCell ref="K186:L186"/>
    <mergeCell ref="B187:F187"/>
    <mergeCell ref="G187:H187"/>
    <mergeCell ref="I187:J187"/>
    <mergeCell ref="K187:L187"/>
    <mergeCell ref="B188:F188"/>
    <mergeCell ref="G188:H188"/>
    <mergeCell ref="I188:J188"/>
    <mergeCell ref="K188:L188"/>
    <mergeCell ref="B189:L189"/>
    <mergeCell ref="B190:F190"/>
    <mergeCell ref="G190:H190"/>
    <mergeCell ref="I190:J190"/>
    <mergeCell ref="K190:L190"/>
    <mergeCell ref="B191:F191"/>
    <mergeCell ref="G191:H191"/>
    <mergeCell ref="I191:J191"/>
    <mergeCell ref="K191:L191"/>
    <mergeCell ref="B192:F192"/>
    <mergeCell ref="G192:H192"/>
    <mergeCell ref="I192:J192"/>
    <mergeCell ref="K192:L192"/>
    <mergeCell ref="B193:F193"/>
    <mergeCell ref="G193:H193"/>
    <mergeCell ref="I193:J193"/>
    <mergeCell ref="K193:L193"/>
    <mergeCell ref="B194:L194"/>
    <mergeCell ref="B195:L195"/>
    <mergeCell ref="B196:F196"/>
    <mergeCell ref="G196:H196"/>
    <mergeCell ref="I196:J196"/>
    <mergeCell ref="K196:L196"/>
    <mergeCell ref="B197:F197"/>
    <mergeCell ref="G197:H197"/>
    <mergeCell ref="I197:J197"/>
    <mergeCell ref="K197:L19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workbookViewId="0" topLeftCell="A1">
      <selection activeCell="G26" sqref="G26"/>
    </sheetView>
  </sheetViews>
  <sheetFormatPr defaultColWidth="9.140625" defaultRowHeight="12.75"/>
  <cols>
    <col min="1" max="1" width="0.5625" style="420" customWidth="1"/>
    <col min="2" max="2" width="18.140625" style="420" customWidth="1"/>
    <col min="3" max="9" width="8.421875" style="420" customWidth="1"/>
    <col min="10" max="10" width="8.421875" style="421" customWidth="1"/>
    <col min="11" max="16384" width="9.140625" style="420" customWidth="1"/>
  </cols>
  <sheetData>
    <row r="2" spans="2:10" ht="12.75">
      <c r="B2" s="708" t="s">
        <v>316</v>
      </c>
      <c r="C2" s="709" t="str">
        <f>CONCATENATE("31 декември ",НАЧАЛО!AC1-1)</f>
        <v>31 декември 2009</v>
      </c>
      <c r="D2" s="709"/>
      <c r="E2" s="710" t="str">
        <f>CONCATENATE("Движение на отсрочените данъци за ",НАЧАЛО!AC1)</f>
        <v>Движение на отсрочените данъци за 2010</v>
      </c>
      <c r="F2" s="710"/>
      <c r="G2" s="710"/>
      <c r="H2" s="710"/>
      <c r="I2" s="709" t="str">
        <f>CONCATENATE(НАЧАЛО!AA1," ",CHOOSE(НАЧАЛО!AB1,НАЧАЛО!AI1,НАЧАЛО!AI2,НАЧАЛО!AI3,НАЧАЛО!AI4,НАЧАЛО!AI5,НАЧАЛО!AI6,НАЧАЛО!AI7,НАЧАЛО!AI8,НАЧАЛО!AI9,НАЧАЛО!AI10,НАЧАЛО!AI11,НАЧАЛО!AI12)," ",НАЧАЛО!AC1)</f>
        <v>30 септември 2010</v>
      </c>
      <c r="J2" s="709"/>
    </row>
    <row r="3" spans="2:10" ht="12.75">
      <c r="B3" s="708"/>
      <c r="C3" s="709"/>
      <c r="D3" s="709"/>
      <c r="E3" s="710" t="s">
        <v>317</v>
      </c>
      <c r="F3" s="710"/>
      <c r="G3" s="710" t="s">
        <v>318</v>
      </c>
      <c r="H3" s="710"/>
      <c r="I3" s="709"/>
      <c r="J3" s="709"/>
    </row>
    <row r="4" spans="2:10" ht="27.75" customHeight="1">
      <c r="B4" s="708"/>
      <c r="C4" s="422" t="s">
        <v>319</v>
      </c>
      <c r="D4" s="422" t="s">
        <v>316</v>
      </c>
      <c r="E4" s="422" t="s">
        <v>319</v>
      </c>
      <c r="F4" s="422" t="s">
        <v>316</v>
      </c>
      <c r="G4" s="422" t="s">
        <v>319</v>
      </c>
      <c r="H4" s="422" t="s">
        <v>316</v>
      </c>
      <c r="I4" s="422" t="s">
        <v>319</v>
      </c>
      <c r="J4" s="422" t="s">
        <v>316</v>
      </c>
    </row>
    <row r="5" spans="2:10" ht="12.75">
      <c r="B5" s="706" t="s">
        <v>111</v>
      </c>
      <c r="C5" s="706"/>
      <c r="D5" s="706"/>
      <c r="E5" s="706"/>
      <c r="F5" s="706"/>
      <c r="G5" s="706"/>
      <c r="H5" s="706"/>
      <c r="I5" s="706"/>
      <c r="J5" s="706"/>
    </row>
    <row r="6" spans="2:10" ht="12.75">
      <c r="B6" s="423" t="s">
        <v>320</v>
      </c>
      <c r="C6" s="423"/>
      <c r="D6" s="423"/>
      <c r="E6" s="424"/>
      <c r="F6" s="424"/>
      <c r="G6" s="423"/>
      <c r="H6" s="423"/>
      <c r="I6" s="425">
        <f aca="true" t="shared" si="0" ref="I6:J12">C6+E6+G6</f>
        <v>0</v>
      </c>
      <c r="J6" s="425">
        <f t="shared" si="0"/>
        <v>0</v>
      </c>
    </row>
    <row r="7" spans="2:10" ht="12.75">
      <c r="B7" s="426" t="s">
        <v>321</v>
      </c>
      <c r="C7" s="425">
        <v>149</v>
      </c>
      <c r="D7" s="425">
        <v>15</v>
      </c>
      <c r="E7" s="425">
        <v>82</v>
      </c>
      <c r="F7" s="425">
        <v>8</v>
      </c>
      <c r="G7" s="425">
        <v>-12</v>
      </c>
      <c r="H7" s="425">
        <v>-1</v>
      </c>
      <c r="I7" s="425">
        <f t="shared" si="0"/>
        <v>219</v>
      </c>
      <c r="J7" s="425">
        <f t="shared" si="0"/>
        <v>22</v>
      </c>
    </row>
    <row r="8" spans="2:10" ht="12.75" customHeight="1">
      <c r="B8" s="426" t="s">
        <v>322</v>
      </c>
      <c r="C8" s="425">
        <v>105</v>
      </c>
      <c r="D8" s="425">
        <v>11</v>
      </c>
      <c r="E8" s="425"/>
      <c r="F8" s="425"/>
      <c r="G8" s="425">
        <v>-40</v>
      </c>
      <c r="H8" s="425">
        <v>-4</v>
      </c>
      <c r="I8" s="425">
        <f t="shared" si="0"/>
        <v>65</v>
      </c>
      <c r="J8" s="425">
        <f t="shared" si="0"/>
        <v>7</v>
      </c>
    </row>
    <row r="9" spans="2:10" ht="12.75" customHeight="1">
      <c r="B9" s="426" t="s">
        <v>323</v>
      </c>
      <c r="C9" s="425"/>
      <c r="D9" s="425"/>
      <c r="E9" s="425"/>
      <c r="F9" s="425"/>
      <c r="G9" s="425"/>
      <c r="H9" s="425"/>
      <c r="I9" s="425">
        <f>C9+E9+G9</f>
        <v>0</v>
      </c>
      <c r="J9" s="425">
        <f>D9+F9+H9</f>
        <v>0</v>
      </c>
    </row>
    <row r="10" spans="2:10" ht="12.75">
      <c r="B10" s="426" t="s">
        <v>324</v>
      </c>
      <c r="C10" s="425"/>
      <c r="D10" s="425"/>
      <c r="E10" s="425"/>
      <c r="F10" s="425"/>
      <c r="G10" s="425"/>
      <c r="H10" s="425"/>
      <c r="I10" s="425">
        <f t="shared" si="0"/>
        <v>0</v>
      </c>
      <c r="J10" s="425">
        <f t="shared" si="0"/>
        <v>0</v>
      </c>
    </row>
    <row r="11" spans="2:10" ht="12.75">
      <c r="B11" s="426" t="s">
        <v>325</v>
      </c>
      <c r="C11" s="425">
        <v>250</v>
      </c>
      <c r="D11" s="425">
        <v>25</v>
      </c>
      <c r="E11" s="425"/>
      <c r="F11" s="425"/>
      <c r="G11" s="425">
        <v>-27</v>
      </c>
      <c r="H11" s="425">
        <v>-3</v>
      </c>
      <c r="I11" s="425">
        <f>C11+E11+G11</f>
        <v>223</v>
      </c>
      <c r="J11" s="425">
        <f>D11+F11+H11</f>
        <v>22</v>
      </c>
    </row>
    <row r="12" spans="2:10" ht="12.75">
      <c r="B12" s="426"/>
      <c r="C12" s="425"/>
      <c r="D12" s="425"/>
      <c r="E12" s="425"/>
      <c r="F12" s="425"/>
      <c r="G12" s="425"/>
      <c r="H12" s="425"/>
      <c r="I12" s="425">
        <f t="shared" si="0"/>
        <v>0</v>
      </c>
      <c r="J12" s="425">
        <f t="shared" si="0"/>
        <v>0</v>
      </c>
    </row>
    <row r="13" spans="2:10" ht="12.75">
      <c r="B13" s="427" t="s">
        <v>326</v>
      </c>
      <c r="C13" s="428">
        <f aca="true" t="shared" si="1" ref="C13:H13">SUM(C6:C12)</f>
        <v>504</v>
      </c>
      <c r="D13" s="428">
        <f t="shared" si="1"/>
        <v>51</v>
      </c>
      <c r="E13" s="429">
        <f t="shared" si="1"/>
        <v>82</v>
      </c>
      <c r="F13" s="429">
        <f t="shared" si="1"/>
        <v>8</v>
      </c>
      <c r="G13" s="428">
        <f t="shared" si="1"/>
        <v>-79</v>
      </c>
      <c r="H13" s="428">
        <f t="shared" si="1"/>
        <v>-8</v>
      </c>
      <c r="I13" s="428">
        <f>SUM(I6:I12)</f>
        <v>507</v>
      </c>
      <c r="J13" s="428">
        <f>SUM(J6:J12)</f>
        <v>51</v>
      </c>
    </row>
    <row r="14" spans="2:10" ht="12.75">
      <c r="B14" s="707" t="s">
        <v>327</v>
      </c>
      <c r="C14" s="707"/>
      <c r="D14" s="707"/>
      <c r="E14" s="707"/>
      <c r="F14" s="707"/>
      <c r="G14" s="707"/>
      <c r="H14" s="707"/>
      <c r="I14" s="707"/>
      <c r="J14" s="707"/>
    </row>
    <row r="15" spans="2:10" ht="12.75">
      <c r="B15" s="423" t="s">
        <v>328</v>
      </c>
      <c r="C15" s="430">
        <v>3980</v>
      </c>
      <c r="D15" s="430">
        <v>398</v>
      </c>
      <c r="E15" s="430"/>
      <c r="F15" s="430"/>
      <c r="G15" s="430"/>
      <c r="H15" s="430"/>
      <c r="I15" s="425">
        <f aca="true" t="shared" si="2" ref="I15:J19">C15+E15+G15</f>
        <v>3980</v>
      </c>
      <c r="J15" s="425">
        <f t="shared" si="2"/>
        <v>398</v>
      </c>
    </row>
    <row r="16" spans="2:10" ht="12.75">
      <c r="B16" s="431" t="s">
        <v>320</v>
      </c>
      <c r="C16" s="425">
        <v>40</v>
      </c>
      <c r="D16" s="425">
        <v>4</v>
      </c>
      <c r="E16" s="425"/>
      <c r="F16" s="425"/>
      <c r="G16" s="425"/>
      <c r="H16" s="425"/>
      <c r="I16" s="425">
        <f t="shared" si="2"/>
        <v>40</v>
      </c>
      <c r="J16" s="425">
        <f t="shared" si="2"/>
        <v>4</v>
      </c>
    </row>
    <row r="17" spans="2:10" ht="13.5" customHeight="1">
      <c r="B17" s="431" t="s">
        <v>322</v>
      </c>
      <c r="C17" s="425">
        <v>20</v>
      </c>
      <c r="D17" s="425">
        <v>2</v>
      </c>
      <c r="E17" s="425"/>
      <c r="F17" s="425"/>
      <c r="G17" s="425">
        <v>-20</v>
      </c>
      <c r="H17" s="425">
        <v>-2</v>
      </c>
      <c r="I17" s="425">
        <f t="shared" si="2"/>
        <v>0</v>
      </c>
      <c r="J17" s="425">
        <f t="shared" si="2"/>
        <v>0</v>
      </c>
    </row>
    <row r="18" spans="2:10" ht="12.75">
      <c r="B18" s="431"/>
      <c r="C18" s="425"/>
      <c r="D18" s="425"/>
      <c r="E18" s="425"/>
      <c r="F18" s="425"/>
      <c r="G18" s="425"/>
      <c r="H18" s="425"/>
      <c r="I18" s="425"/>
      <c r="J18" s="425"/>
    </row>
    <row r="19" spans="2:10" ht="12.75">
      <c r="B19" s="432"/>
      <c r="C19" s="433"/>
      <c r="D19" s="433"/>
      <c r="E19" s="433"/>
      <c r="F19" s="433"/>
      <c r="G19" s="433"/>
      <c r="H19" s="433"/>
      <c r="I19" s="425">
        <f t="shared" si="2"/>
        <v>0</v>
      </c>
      <c r="J19" s="425">
        <f t="shared" si="2"/>
        <v>0</v>
      </c>
    </row>
    <row r="20" spans="2:10" ht="12.75">
      <c r="B20" s="434" t="s">
        <v>329</v>
      </c>
      <c r="C20" s="435">
        <f>SUM(C15:C19)</f>
        <v>4040</v>
      </c>
      <c r="D20" s="435">
        <f aca="true" t="shared" si="3" ref="D20:I20">SUM(D15:D19)</f>
        <v>404</v>
      </c>
      <c r="E20" s="435">
        <f t="shared" si="3"/>
        <v>0</v>
      </c>
      <c r="F20" s="435">
        <f t="shared" si="3"/>
        <v>0</v>
      </c>
      <c r="G20" s="435">
        <f t="shared" si="3"/>
        <v>-20</v>
      </c>
      <c r="H20" s="435">
        <f t="shared" si="3"/>
        <v>-2</v>
      </c>
      <c r="I20" s="435">
        <f t="shared" si="3"/>
        <v>4020</v>
      </c>
      <c r="J20" s="435">
        <f>SUM(J15:J19)</f>
        <v>402</v>
      </c>
    </row>
    <row r="21" spans="2:10" ht="12.75" customHeight="1">
      <c r="B21" s="436" t="s">
        <v>330</v>
      </c>
      <c r="C21" s="437">
        <f aca="true" t="shared" si="4" ref="C21:J21">C13-C20</f>
        <v>-3536</v>
      </c>
      <c r="D21" s="437">
        <f t="shared" si="4"/>
        <v>-353</v>
      </c>
      <c r="E21" s="437">
        <f t="shared" si="4"/>
        <v>82</v>
      </c>
      <c r="F21" s="437">
        <f t="shared" si="4"/>
        <v>8</v>
      </c>
      <c r="G21" s="437">
        <f t="shared" si="4"/>
        <v>-59</v>
      </c>
      <c r="H21" s="437">
        <f t="shared" si="4"/>
        <v>-6</v>
      </c>
      <c r="I21" s="437">
        <f t="shared" si="4"/>
        <v>-3513</v>
      </c>
      <c r="J21" s="437">
        <f t="shared" si="4"/>
        <v>-351</v>
      </c>
    </row>
    <row r="23" ht="12.75">
      <c r="C23" s="438"/>
    </row>
  </sheetData>
  <mergeCells count="8">
    <mergeCell ref="B5:J5"/>
    <mergeCell ref="B14:J14"/>
    <mergeCell ref="B2:B4"/>
    <mergeCell ref="C2:D3"/>
    <mergeCell ref="E2:H2"/>
    <mergeCell ref="I2:J3"/>
    <mergeCell ref="E3:F3"/>
    <mergeCell ref="G3:H3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60"/>
  <sheetViews>
    <sheetView workbookViewId="0" topLeftCell="A1">
      <selection activeCell="D53" sqref="D53"/>
    </sheetView>
  </sheetViews>
  <sheetFormatPr defaultColWidth="9.140625" defaultRowHeight="12.75"/>
  <cols>
    <col min="1" max="1" width="5.7109375" style="420" customWidth="1"/>
    <col min="2" max="2" width="20.140625" style="420" customWidth="1"/>
    <col min="3" max="3" width="21.28125" style="420" customWidth="1"/>
    <col min="4" max="5" width="12.140625" style="420" customWidth="1"/>
    <col min="6" max="16384" width="9.140625" style="420" customWidth="1"/>
  </cols>
  <sheetData>
    <row r="1" spans="2:5" ht="14.25">
      <c r="B1" s="675" t="s">
        <v>331</v>
      </c>
      <c r="C1" s="675"/>
      <c r="D1" s="675"/>
      <c r="E1" s="675"/>
    </row>
    <row r="2" spans="2:5" ht="12.75">
      <c r="B2" s="674" t="s">
        <v>281</v>
      </c>
      <c r="C2" s="674"/>
      <c r="D2" s="439">
        <f>НАЧАЛО!AA2</f>
        <v>40451</v>
      </c>
      <c r="E2" s="440" t="str">
        <f>CONCATENATE("31.12.",YEAR(D2)-1," г.")</f>
        <v>31.12.2009 г.</v>
      </c>
    </row>
    <row r="3" spans="2:5" ht="12.75">
      <c r="B3" s="713" t="s">
        <v>332</v>
      </c>
      <c r="C3" s="713"/>
      <c r="D3" s="441">
        <f>SUM(D4:D7)</f>
        <v>502</v>
      </c>
      <c r="E3" s="441">
        <f>SUM(E4:E7)</f>
        <v>0</v>
      </c>
    </row>
    <row r="4" spans="2:5" ht="12.75">
      <c r="B4" s="670" t="s">
        <v>333</v>
      </c>
      <c r="C4" s="670"/>
      <c r="D4" s="323"/>
      <c r="E4" s="323"/>
    </row>
    <row r="5" spans="2:5" ht="12.75">
      <c r="B5" s="670" t="s">
        <v>334</v>
      </c>
      <c r="C5" s="670"/>
      <c r="D5" s="323"/>
      <c r="E5" s="323"/>
    </row>
    <row r="6" spans="2:5" ht="12.75">
      <c r="B6" s="670" t="s">
        <v>335</v>
      </c>
      <c r="C6" s="670"/>
      <c r="D6" s="323">
        <v>502</v>
      </c>
      <c r="E6" s="323"/>
    </row>
    <row r="7" spans="2:5" ht="12.75">
      <c r="B7" s="670" t="s">
        <v>336</v>
      </c>
      <c r="C7" s="670"/>
      <c r="D7" s="323"/>
      <c r="E7" s="323"/>
    </row>
    <row r="8" spans="2:5" ht="12.75">
      <c r="B8" s="713" t="s">
        <v>337</v>
      </c>
      <c r="C8" s="713"/>
      <c r="D8" s="441">
        <f>SUM(D9:D10)</f>
        <v>0</v>
      </c>
      <c r="E8" s="441">
        <f>SUM(E9:E10)</f>
        <v>0</v>
      </c>
    </row>
    <row r="9" spans="2:5" ht="12.75">
      <c r="B9" s="670" t="s">
        <v>338</v>
      </c>
      <c r="C9" s="670"/>
      <c r="D9" s="323"/>
      <c r="E9" s="323"/>
    </row>
    <row r="10" spans="2:5" ht="12.75">
      <c r="B10" s="670" t="s">
        <v>339</v>
      </c>
      <c r="C10" s="670"/>
      <c r="D10" s="323"/>
      <c r="E10" s="323"/>
    </row>
    <row r="11" spans="2:5" ht="12.75">
      <c r="B11" s="713" t="s">
        <v>340</v>
      </c>
      <c r="C11" s="713"/>
      <c r="D11" s="441">
        <f>SUM(D12:D13)</f>
        <v>0</v>
      </c>
      <c r="E11" s="441">
        <f>SUM(E12:E13)</f>
        <v>0</v>
      </c>
    </row>
    <row r="12" spans="2:5" ht="12.75">
      <c r="B12" s="670" t="s">
        <v>334</v>
      </c>
      <c r="C12" s="670"/>
      <c r="D12" s="323"/>
      <c r="E12" s="323"/>
    </row>
    <row r="13" spans="2:5" ht="12.75">
      <c r="B13" s="670" t="s">
        <v>341</v>
      </c>
      <c r="C13" s="670"/>
      <c r="D13" s="323"/>
      <c r="E13" s="323"/>
    </row>
    <row r="14" spans="2:5" ht="12.75">
      <c r="B14" s="713" t="s">
        <v>342</v>
      </c>
      <c r="C14" s="713"/>
      <c r="D14" s="441">
        <f>SUM(D15:D20)</f>
        <v>80</v>
      </c>
      <c r="E14" s="441">
        <f>SUM(E15:E20)</f>
        <v>471</v>
      </c>
    </row>
    <row r="15" spans="2:5" ht="12.75">
      <c r="B15" s="670" t="s">
        <v>343</v>
      </c>
      <c r="C15" s="670"/>
      <c r="D15" s="323">
        <v>0</v>
      </c>
      <c r="E15" s="323">
        <v>0</v>
      </c>
    </row>
    <row r="16" spans="2:5" ht="12.75">
      <c r="B16" s="711" t="s">
        <v>344</v>
      </c>
      <c r="C16" s="711"/>
      <c r="D16" s="323">
        <v>80</v>
      </c>
      <c r="E16" s="323"/>
    </row>
    <row r="17" spans="2:11" ht="12.75">
      <c r="B17" s="670" t="s">
        <v>345</v>
      </c>
      <c r="C17" s="670"/>
      <c r="D17" s="323"/>
      <c r="E17" s="323">
        <v>471</v>
      </c>
      <c r="G17" s="681" t="str">
        <f>IF(AND(J18="",J20=""),"","Разлика между БАЛАНСА и ПРИЛОЖЕНИЕТО!")</f>
        <v>Разлика между БАЛАНСА и ПРИЛОЖЕНИЕТО!</v>
      </c>
      <c r="H17" s="681"/>
      <c r="I17" s="681"/>
      <c r="J17" s="681"/>
      <c r="K17" s="681"/>
    </row>
    <row r="18" spans="2:11" ht="12.75">
      <c r="B18" s="670" t="s">
        <v>98</v>
      </c>
      <c r="C18" s="670"/>
      <c r="D18" s="323"/>
      <c r="E18" s="323"/>
      <c r="G18" s="680" t="str">
        <f>IF(J18="","","Разлика текущ период:")</f>
        <v>Разлика текущ период:</v>
      </c>
      <c r="H18" s="680"/>
      <c r="I18" s="680"/>
      <c r="J18" s="405">
        <f>IF(D21=баланс!E17,"",D21-баланс!E17)</f>
        <v>50</v>
      </c>
      <c r="K18" s="406"/>
    </row>
    <row r="19" spans="2:11" ht="12.75">
      <c r="B19" s="670" t="s">
        <v>346</v>
      </c>
      <c r="C19" s="670"/>
      <c r="D19" s="323"/>
      <c r="E19" s="323"/>
      <c r="G19" s="678" t="str">
        <f>IF(J18="","","Сума по баланс:")</f>
        <v>Сума по баланс:</v>
      </c>
      <c r="H19" s="678"/>
      <c r="I19" s="678"/>
      <c r="J19" s="407">
        <f>IF(J18="","",баланс!E17)</f>
        <v>532</v>
      </c>
      <c r="K19" s="406"/>
    </row>
    <row r="20" spans="2:11" ht="12.75">
      <c r="B20" s="670" t="s">
        <v>347</v>
      </c>
      <c r="C20" s="670"/>
      <c r="D20" s="323"/>
      <c r="E20" s="323"/>
      <c r="G20" s="680" t="str">
        <f>IF(J20="","","Разлика предходен период:")</f>
        <v>Разлика предходен период:</v>
      </c>
      <c r="H20" s="680"/>
      <c r="I20" s="680"/>
      <c r="J20" s="405">
        <f>IF(E21=баланс!G17,"",E21-баланс!G17)</f>
        <v>471</v>
      </c>
      <c r="K20" s="406"/>
    </row>
    <row r="21" spans="2:11" ht="12.75">
      <c r="B21" s="666" t="s">
        <v>231</v>
      </c>
      <c r="C21" s="666"/>
      <c r="D21" s="437">
        <f>D3+D8+D11+D14</f>
        <v>582</v>
      </c>
      <c r="E21" s="437">
        <f>E3+E8+E11+E14</f>
        <v>471</v>
      </c>
      <c r="G21" s="678" t="str">
        <f>IF(J20="","","Сума по баланс:")</f>
        <v>Сума по баланс:</v>
      </c>
      <c r="H21" s="678"/>
      <c r="I21" s="678"/>
      <c r="J21" s="407">
        <f>IF(J20="","",баланс!G17)</f>
        <v>0</v>
      </c>
      <c r="K21" s="406"/>
    </row>
    <row r="22" spans="2:5" ht="14.25">
      <c r="B22" s="675" t="s">
        <v>348</v>
      </c>
      <c r="C22" s="675"/>
      <c r="D22" s="675"/>
      <c r="E22" s="675"/>
    </row>
    <row r="23" spans="2:5" ht="12.75">
      <c r="B23" s="674" t="s">
        <v>281</v>
      </c>
      <c r="C23" s="674"/>
      <c r="D23" s="440">
        <f>D2</f>
        <v>40451</v>
      </c>
      <c r="E23" s="440" t="str">
        <f>E2</f>
        <v>31.12.2009 г.</v>
      </c>
    </row>
    <row r="24" spans="2:5" ht="12.75">
      <c r="B24" s="713" t="s">
        <v>332</v>
      </c>
      <c r="C24" s="713"/>
      <c r="D24" s="442">
        <v>1563</v>
      </c>
      <c r="E24" s="442">
        <f>SUM(E25:E29)</f>
        <v>2108</v>
      </c>
    </row>
    <row r="25" spans="2:5" ht="12.75">
      <c r="B25" s="670" t="s">
        <v>333</v>
      </c>
      <c r="C25" s="670"/>
      <c r="D25" s="443">
        <v>1236</v>
      </c>
      <c r="E25" s="443">
        <v>1148</v>
      </c>
    </row>
    <row r="26" spans="2:5" ht="12.75">
      <c r="B26" s="670" t="s">
        <v>334</v>
      </c>
      <c r="C26" s="670"/>
      <c r="D26" s="443">
        <v>37</v>
      </c>
      <c r="E26" s="443"/>
    </row>
    <row r="27" spans="2:5" ht="12.75">
      <c r="B27" s="670" t="s">
        <v>349</v>
      </c>
      <c r="C27" s="670"/>
      <c r="D27" s="443"/>
      <c r="E27" s="443"/>
    </row>
    <row r="28" spans="2:5" ht="12.75">
      <c r="B28" s="670" t="s">
        <v>350</v>
      </c>
      <c r="C28" s="670"/>
      <c r="D28" s="443">
        <v>0</v>
      </c>
      <c r="E28" s="443">
        <v>0</v>
      </c>
    </row>
    <row r="29" spans="2:5" ht="12.75">
      <c r="B29" s="670" t="s">
        <v>351</v>
      </c>
      <c r="C29" s="670"/>
      <c r="D29" s="323">
        <v>370</v>
      </c>
      <c r="E29" s="323">
        <v>960</v>
      </c>
    </row>
    <row r="30" spans="2:5" ht="12.75">
      <c r="B30" s="713" t="s">
        <v>337</v>
      </c>
      <c r="C30" s="713"/>
      <c r="D30" s="442">
        <f>SUM(D31:D32)</f>
        <v>1485</v>
      </c>
      <c r="E30" s="442">
        <f>SUM(E31:E32)</f>
        <v>1226</v>
      </c>
    </row>
    <row r="31" spans="2:5" ht="12.75">
      <c r="B31" s="670" t="s">
        <v>338</v>
      </c>
      <c r="C31" s="670"/>
      <c r="D31" s="443">
        <v>1485</v>
      </c>
      <c r="E31" s="443">
        <v>1226</v>
      </c>
    </row>
    <row r="32" spans="2:5" ht="12.75">
      <c r="B32" s="670" t="s">
        <v>339</v>
      </c>
      <c r="C32" s="670"/>
      <c r="D32" s="323">
        <v>0</v>
      </c>
      <c r="E32" s="323"/>
    </row>
    <row r="33" spans="2:5" ht="12.75">
      <c r="B33" s="713" t="s">
        <v>340</v>
      </c>
      <c r="C33" s="713"/>
      <c r="D33" s="441">
        <v>3501</v>
      </c>
      <c r="E33" s="441">
        <f>SUM(E34:E35)</f>
        <v>3014</v>
      </c>
    </row>
    <row r="34" spans="2:5" ht="12.75">
      <c r="B34" s="670" t="s">
        <v>334</v>
      </c>
      <c r="C34" s="670"/>
      <c r="D34" s="323">
        <v>3501</v>
      </c>
      <c r="E34" s="323">
        <v>3014</v>
      </c>
    </row>
    <row r="35" spans="2:5" ht="12.75">
      <c r="B35" s="670" t="s">
        <v>341</v>
      </c>
      <c r="C35" s="670"/>
      <c r="D35" s="323"/>
      <c r="E35" s="323"/>
    </row>
    <row r="36" spans="2:5" ht="12.75">
      <c r="B36" s="713" t="s">
        <v>352</v>
      </c>
      <c r="C36" s="713"/>
      <c r="D36" s="441">
        <f>SUM(D37:D38)</f>
        <v>0</v>
      </c>
      <c r="E36" s="441">
        <f>SUM(E37:E38)</f>
        <v>0</v>
      </c>
    </row>
    <row r="37" spans="2:5" ht="12.75">
      <c r="B37" s="670" t="s">
        <v>349</v>
      </c>
      <c r="C37" s="670"/>
      <c r="D37" s="323"/>
      <c r="E37" s="323"/>
    </row>
    <row r="38" spans="2:5" ht="12.75">
      <c r="B38" s="670" t="s">
        <v>353</v>
      </c>
      <c r="C38" s="670"/>
      <c r="D38" s="323"/>
      <c r="E38" s="323"/>
    </row>
    <row r="39" spans="2:5" ht="12.75">
      <c r="B39" s="713" t="s">
        <v>354</v>
      </c>
      <c r="C39" s="713"/>
      <c r="D39" s="441">
        <f>SUM(D40:D41)</f>
        <v>69</v>
      </c>
      <c r="E39" s="441">
        <f>SUM(E40:E41)</f>
        <v>32</v>
      </c>
    </row>
    <row r="40" spans="2:5" ht="12.75">
      <c r="B40" s="711" t="s">
        <v>355</v>
      </c>
      <c r="C40" s="711"/>
      <c r="D40" s="323">
        <v>69</v>
      </c>
      <c r="E40" s="323">
        <v>32</v>
      </c>
    </row>
    <row r="41" spans="2:5" ht="12.75">
      <c r="B41" s="670" t="s">
        <v>356</v>
      </c>
      <c r="C41" s="670"/>
      <c r="D41" s="323"/>
      <c r="E41" s="323"/>
    </row>
    <row r="42" spans="2:5" ht="12.75">
      <c r="B42" s="712" t="s">
        <v>357</v>
      </c>
      <c r="C42" s="712"/>
      <c r="D42" s="442">
        <f>SUM(D43:D45)</f>
        <v>40</v>
      </c>
      <c r="E42" s="442">
        <f>SUM(E43:E45)</f>
        <v>40</v>
      </c>
    </row>
    <row r="43" spans="2:5" ht="12.75">
      <c r="B43" s="711" t="s">
        <v>358</v>
      </c>
      <c r="C43" s="711"/>
      <c r="D43" s="443">
        <v>40</v>
      </c>
      <c r="E43" s="443">
        <v>40</v>
      </c>
    </row>
    <row r="44" spans="2:5" ht="12.75">
      <c r="B44" s="711" t="s">
        <v>359</v>
      </c>
      <c r="C44" s="711"/>
      <c r="D44" s="443"/>
      <c r="E44" s="443"/>
    </row>
    <row r="45" spans="2:5" ht="12.75">
      <c r="B45" s="711" t="s">
        <v>62</v>
      </c>
      <c r="C45" s="711"/>
      <c r="D45" s="443"/>
      <c r="E45" s="443"/>
    </row>
    <row r="46" spans="2:9" ht="12.75">
      <c r="B46" s="712" t="s">
        <v>360</v>
      </c>
      <c r="C46" s="712"/>
      <c r="D46" s="442">
        <f>SUM(D47:D55)</f>
        <v>2282</v>
      </c>
      <c r="E46" s="442">
        <f>SUM(E47:E55)</f>
        <v>1814</v>
      </c>
      <c r="I46" s="420">
        <v>0</v>
      </c>
    </row>
    <row r="47" spans="2:5" ht="12.75">
      <c r="B47" s="711" t="s">
        <v>361</v>
      </c>
      <c r="C47" s="711"/>
      <c r="D47" s="443"/>
      <c r="E47" s="443"/>
    </row>
    <row r="48" spans="2:5" ht="12.75">
      <c r="B48" s="711" t="s">
        <v>362</v>
      </c>
      <c r="C48" s="711"/>
      <c r="D48" s="443"/>
      <c r="E48" s="443"/>
    </row>
    <row r="49" spans="2:5" ht="12.75">
      <c r="B49" s="711" t="s">
        <v>363</v>
      </c>
      <c r="C49" s="711"/>
      <c r="D49" s="443">
        <v>13</v>
      </c>
      <c r="E49" s="443">
        <v>0</v>
      </c>
    </row>
    <row r="50" spans="2:5" ht="12.75">
      <c r="B50" s="711" t="s">
        <v>344</v>
      </c>
      <c r="C50" s="711"/>
      <c r="D50" s="443">
        <v>9</v>
      </c>
      <c r="E50" s="443"/>
    </row>
    <row r="51" spans="2:5" ht="12.75">
      <c r="B51" s="711" t="s">
        <v>364</v>
      </c>
      <c r="C51" s="711"/>
      <c r="D51" s="443"/>
      <c r="E51" s="443"/>
    </row>
    <row r="52" spans="2:11" ht="12.75">
      <c r="B52" s="711" t="s">
        <v>365</v>
      </c>
      <c r="C52" s="711"/>
      <c r="D52" s="443">
        <v>1274</v>
      </c>
      <c r="E52" s="443">
        <v>1814</v>
      </c>
      <c r="G52" s="681" t="str">
        <f>IF(AND(J53="",J55=""),"","Разлика между БАЛАНСА и ПРИЛОЖЕНИЕТО!")</f>
        <v>Разлика между БАЛАНСА и ПРИЛОЖЕНИЕТО!</v>
      </c>
      <c r="H52" s="681"/>
      <c r="I52" s="681"/>
      <c r="J52" s="681"/>
      <c r="K52" s="681"/>
    </row>
    <row r="53" spans="2:11" ht="12.75">
      <c r="B53" s="711" t="s">
        <v>366</v>
      </c>
      <c r="C53" s="711"/>
      <c r="D53" s="443">
        <v>986</v>
      </c>
      <c r="E53" s="443"/>
      <c r="G53" s="680" t="str">
        <f>IF(J53="","","Разлика текущ период:")</f>
        <v>Разлика текущ период:</v>
      </c>
      <c r="H53" s="680"/>
      <c r="I53" s="680"/>
      <c r="J53" s="405">
        <f>IF(D56=баланс!E31,"",D56-баланс!E31)</f>
        <v>-2508</v>
      </c>
      <c r="K53" s="406"/>
    </row>
    <row r="54" spans="2:11" ht="12.75">
      <c r="B54" s="711" t="s">
        <v>367</v>
      </c>
      <c r="C54" s="711"/>
      <c r="D54" s="443"/>
      <c r="E54" s="443"/>
      <c r="G54" s="678" t="str">
        <f>IF(J53="","","Сума по баланс:")</f>
        <v>Сума по баланс:</v>
      </c>
      <c r="H54" s="678"/>
      <c r="I54" s="678"/>
      <c r="J54" s="407">
        <f>IF(J53="","",баланс!E31)</f>
        <v>11448</v>
      </c>
      <c r="K54" s="406"/>
    </row>
    <row r="55" spans="2:11" ht="12.75">
      <c r="B55" s="670" t="s">
        <v>347</v>
      </c>
      <c r="C55" s="670"/>
      <c r="D55" s="443"/>
      <c r="E55" s="443"/>
      <c r="G55" s="680" t="str">
        <f>IF(J55="","","Разлика предходен период:")</f>
        <v>Разлика предходен период:</v>
      </c>
      <c r="H55" s="680"/>
      <c r="I55" s="680"/>
      <c r="J55" s="405">
        <f>IF(E56=баланс!G31,"",E56-баланс!G31)</f>
        <v>-1645</v>
      </c>
      <c r="K55" s="406"/>
    </row>
    <row r="56" spans="2:11" ht="12.75">
      <c r="B56" s="666" t="s">
        <v>231</v>
      </c>
      <c r="C56" s="666"/>
      <c r="D56" s="437">
        <f>D24+D30+D33+D36+D39+D42+D46</f>
        <v>8940</v>
      </c>
      <c r="E56" s="437">
        <f>E24+E30+E33+E36+E39+E42+E46</f>
        <v>8234</v>
      </c>
      <c r="G56" s="678" t="str">
        <f>IF(J55="","","Сума по баланс:")</f>
        <v>Сума по баланс:</v>
      </c>
      <c r="H56" s="678"/>
      <c r="I56" s="678"/>
      <c r="J56" s="407">
        <f>IF(J55="","",баланс!G31)</f>
        <v>9879</v>
      </c>
      <c r="K56" s="406"/>
    </row>
    <row r="60" ht="12.75">
      <c r="D60" s="438">
        <f>D56-947</f>
        <v>7993</v>
      </c>
    </row>
  </sheetData>
  <mergeCells count="66">
    <mergeCell ref="B1:E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G17:K17"/>
    <mergeCell ref="B18:C18"/>
    <mergeCell ref="G18:I18"/>
    <mergeCell ref="B19:C19"/>
    <mergeCell ref="G19:I19"/>
    <mergeCell ref="B20:C20"/>
    <mergeCell ref="G20:I20"/>
    <mergeCell ref="B21:C21"/>
    <mergeCell ref="G21:I21"/>
    <mergeCell ref="B22:E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G52:K52"/>
    <mergeCell ref="B53:C53"/>
    <mergeCell ref="G53:I53"/>
    <mergeCell ref="B56:C56"/>
    <mergeCell ref="G56:I56"/>
    <mergeCell ref="B54:C54"/>
    <mergeCell ref="G54:I54"/>
    <mergeCell ref="B55:C55"/>
    <mergeCell ref="G55:I55"/>
  </mergeCells>
  <dataValidations count="3">
    <dataValidation allowBlank="1" showInputMessage="1" showErrorMessage="1" promptTitle="&quot;Биекс Одит&quot; ООД:" prompt="Въведи числото със знак минус &quot;-&quot;!&#10;" sqref="D7 D10 D13 D20 D29 D32 D35 D38 D41">
      <formula1>0</formula1>
      <formula2>0</formula2>
    </dataValidation>
    <dataValidation allowBlank="1" showErrorMessage="1" prompt="&#10;" sqref="D8:E8 D11:E11 D14:E14 D33:E33 D36:E36 D39:E39">
      <formula1>0</formula1>
      <formula2>0</formula2>
    </dataValidation>
    <dataValidation operator="lessThan" allowBlank="1" showInputMessage="1" showErrorMessage="1" promptTitle="&quot;Биекс Одит&quot; ООД:" prompt="Въведи числото със знак минус &quot;-&quot;!&#10;" sqref="E7 E10 E13 E20 E29 E32 E35 E38 E41">
      <formula1>0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Elena</cp:lastModifiedBy>
  <cp:lastPrinted>2010-08-31T08:45:44Z</cp:lastPrinted>
  <dcterms:created xsi:type="dcterms:W3CDTF">2009-08-31T07:23:05Z</dcterms:created>
  <dcterms:modified xsi:type="dcterms:W3CDTF">2010-11-30T13:03:49Z</dcterms:modified>
  <cp:category/>
  <cp:version/>
  <cp:contentType/>
  <cp:contentStatus/>
</cp:coreProperties>
</file>